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55" yWindow="0" windowWidth="15480" windowHeight="11640" activeTab="0"/>
  </bookViews>
  <sheets>
    <sheet name="Приложение 2" sheetId="1" r:id="rId1"/>
    <sheet name="Приложение 3" sheetId="2" state="hidden" r:id="rId2"/>
    <sheet name="Таблица №7" sheetId="3" state="hidden" r:id="rId3"/>
    <sheet name="Таблица №11" sheetId="4" state="hidden" r:id="rId4"/>
    <sheet name="Таблица №12" sheetId="5" state="hidden" r:id="rId5"/>
  </sheets>
  <definedNames>
    <definedName name="APPT" localSheetId="1">'Приложение 3'!#REF!</definedName>
    <definedName name="APPT" localSheetId="3">'Таблица №11'!#REF!</definedName>
    <definedName name="APPT" localSheetId="4">'Таблица №12'!#REF!</definedName>
    <definedName name="APPT" localSheetId="2">'Таблица №7'!#REF!</definedName>
    <definedName name="FIO" localSheetId="1">'Приложение 3'!#REF!</definedName>
    <definedName name="FIO" localSheetId="3">'Таблица №11'!#REF!</definedName>
    <definedName name="FIO" localSheetId="4">'Таблица №12'!#REF!</definedName>
    <definedName name="FIO" localSheetId="2">'Таблица №7'!#REF!</definedName>
    <definedName name="SIGN" localSheetId="1">'Приложение 3'!$A$24:$E$25</definedName>
    <definedName name="SIGN" localSheetId="3">'Таблица №11'!#REF!</definedName>
    <definedName name="SIGN" localSheetId="4">'Таблица №12'!#REF!</definedName>
    <definedName name="SIGN" localSheetId="2">'Таблица №7'!#REF!</definedName>
  </definedNames>
  <calcPr fullCalcOnLoad="1"/>
</workbook>
</file>

<file path=xl/sharedStrings.xml><?xml version="1.0" encoding="utf-8"?>
<sst xmlns="http://schemas.openxmlformats.org/spreadsheetml/2006/main" count="1633" uniqueCount="341">
  <si>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</si>
  <si>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</si>
  <si>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</si>
  <si>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</si>
  <si>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</si>
  <si>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</si>
  <si>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</si>
  <si>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10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</si>
  <si>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</si>
  <si>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</si>
  <si>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</si>
  <si>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</si>
  <si>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</si>
  <si>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</si>
  <si>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</si>
  <si>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</si>
  <si>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</si>
  <si>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</si>
  <si>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</si>
  <si>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50</t>
  </si>
  <si>
    <t>16</t>
  </si>
  <si>
    <t>17</t>
  </si>
  <si>
    <t>52</t>
  </si>
  <si>
    <t>53</t>
  </si>
  <si>
    <t>54</t>
  </si>
  <si>
    <t>55</t>
  </si>
  <si>
    <t>56</t>
  </si>
  <si>
    <t>57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</si>
  <si>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</si>
  <si>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</si>
  <si>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</si>
  <si>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</si>
  <si>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</si>
  <si>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</si>
  <si>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</si>
  <si>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</si>
  <si>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</si>
  <si>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</si>
  <si>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</si>
  <si>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</si>
  <si>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</si>
  <si>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</si>
  <si>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</si>
  <si>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</si>
  <si>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</si>
  <si>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</si>
  <si>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</si>
  <si>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</si>
  <si>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</si>
  <si>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</si>
  <si>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</si>
  <si>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</si>
  <si>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</si>
  <si>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</si>
  <si>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Оценка недвижимости, признание прав и регулирование отношений  по муниципальной собственности</t>
  </si>
  <si>
    <t>Реализация  государственных функций, связанных с общегосударственным управлением</t>
  </si>
  <si>
    <t>Государственная  регистрация актов гражданского состояния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</si>
  <si>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</si>
  <si>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</si>
  <si>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</si>
  <si>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</si>
  <si>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</si>
  <si>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</si>
  <si>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</si>
  <si>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</si>
  <si>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</si>
  <si>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</si>
  <si>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</si>
  <si>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</si>
  <si>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</si>
  <si>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</si>
  <si>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</si>
  <si>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</si>
  <si>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</si>
  <si>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</si>
  <si>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</si>
  <si>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</si>
  <si>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</si>
  <si>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</si>
  <si>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</si>
  <si>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</si>
  <si>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</si>
  <si>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</si>
  <si>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</si>
  <si>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</si>
  <si>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</si>
  <si>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</si>
  <si>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</si>
  <si>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</si>
  <si>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</si>
  <si>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</si>
  <si>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</si>
  <si>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</si>
  <si>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</si>
  <si>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</si>
  <si>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</si>
  <si>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</si>
  <si>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</si>
  <si>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</si>
  <si>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</si>
  <si>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</si>
  <si>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Социальные выплаты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</si>
  <si>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</si>
  <si>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</si>
  <si>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</si>
  <si>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</si>
  <si>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</si>
  <si>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</si>
  <si>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</si>
  <si>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</si>
  <si>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</si>
  <si>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</si>
  <si>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</si>
  <si>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</si>
  <si>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</si>
  <si>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</si>
  <si>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</si>
  <si>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</si>
  <si>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</si>
  <si>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Администрация Алексеевского муниципального  района</t>
  </si>
  <si>
    <t>За счет субвенции  на создание, исполнение функций и обеспечение деятельности муниципальных комиссий по делам несовершеннолетних и защите их прав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</si>
  <si>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</si>
  <si>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</si>
  <si>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</si>
  <si>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</si>
  <si>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</si>
  <si>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</si>
  <si>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</si>
  <si>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</si>
  <si>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</si>
  <si>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</si>
  <si>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</si>
  <si>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</si>
  <si>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</si>
  <si>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</si>
  <si>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</si>
  <si>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</si>
  <si>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</si>
  <si>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</si>
  <si>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</si>
  <si>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</si>
  <si>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</si>
  <si>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</si>
  <si>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</si>
  <si>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</si>
  <si>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</si>
  <si>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</si>
  <si>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</si>
  <si>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</si>
  <si>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</si>
  <si>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</si>
  <si>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</si>
  <si>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</si>
  <si>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</si>
  <si>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</si>
  <si>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</si>
  <si>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</si>
  <si>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</si>
  <si>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Молодежная политика  и оздоровление детей</t>
  </si>
  <si>
    <t>Культура, кинематография</t>
  </si>
  <si>
    <t>Борьба с беспризорностью, опека, попечительство</t>
  </si>
  <si>
    <t>1100</t>
  </si>
  <si>
    <t>Физическая культура  и спорт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</si>
  <si>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</si>
  <si>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</si>
  <si>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</si>
  <si>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</si>
  <si>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</si>
  <si>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</si>
  <si>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Таблица № 7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</si>
  <si>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</si>
  <si>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</si>
  <si>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</si>
  <si>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</si>
  <si>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</si>
  <si>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</si>
  <si>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</si>
  <si>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тыс.рублей</t>
  </si>
  <si>
    <t>20</t>
  </si>
  <si>
    <t>от "__"_______________№________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</si>
  <si>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</si>
  <si>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по комплектованию книжных фондов библиотек муниципальных образований</t>
  </si>
  <si>
    <t>тыс. рублей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</si>
  <si>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</t>
  </si>
  <si>
    <t>Муниципальная программа "О поддержке деятельности казачьих обществ  Алексеевского муниципального района на 2016-2018 годы"</t>
  </si>
  <si>
    <t>Муниципальная программа "Развитие физической культуры и спорта в Алексеевском муниципальном районе на 2016-2018 годы"</t>
  </si>
  <si>
    <t>Муниципальная программа "Развитие и поддержка малого предпринимательства Алексеевского муниципального района на 2016-2018 годы "</t>
  </si>
  <si>
    <t>Целевая статья (муниципальная программа и непрограммное направление деятельности)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</si>
  <si>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</si>
  <si>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</si>
  <si>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</si>
  <si>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</si>
  <si>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</si>
  <si>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</si>
  <si>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</si>
  <si>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</si>
  <si>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</si>
  <si>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</si>
  <si>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</si>
  <si>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</si>
  <si>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</si>
  <si>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Подпрограмма " Профилактика безнадзорности , правонарушений и неблагополучия несовершеннолетних"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</si>
  <si>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</si>
  <si>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</si>
  <si>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</si>
  <si>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</si>
  <si>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</si>
  <si>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</si>
  <si>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</si>
  <si>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</si>
  <si>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</si>
  <si>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</si>
  <si>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</si>
  <si>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</si>
  <si>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</si>
  <si>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</si>
  <si>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</si>
  <si>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</si>
  <si>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</si>
  <si>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</si>
  <si>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</si>
  <si>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</si>
  <si>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</si>
  <si>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</si>
  <si>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Муниципальная программа  «Охрана окружающей среды Алексеевского муниципального района на 2016-2018 годы»</t>
  </si>
  <si>
    <t>Муниципальная программа  «Развитие народных художественных промыслов Алексеевского  муниципального района на 2016-2018 годы»</t>
  </si>
  <si>
    <t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t>
  </si>
  <si>
    <t>Ведомственная целевая программа "Развитие дошкольного образования детей на  территории  Алексеевского муниципального района на 2016-2018 годы"</t>
  </si>
  <si>
    <t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t>
  </si>
  <si>
    <t>Ведомственная целевая программа "Молодежная политика  на территории Алексеевского муниципального района на 2016-2018 годы" (СДЦ)</t>
  </si>
  <si>
    <t>Ведомственная целевая программа "Развитие культуры и искусства в Алексеевском муниципальном районе на 2016-2018 годы"</t>
  </si>
  <si>
    <t>Ведомственная целевая программа "Поддержка средств массовой информации  в Алексеевском муниципальном районе на 2016-2018 годы"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</si>
  <si>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</si>
  <si>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</si>
  <si>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</si>
  <si>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</si>
  <si>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</si>
  <si>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</si>
  <si>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</si>
  <si>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</si>
  <si>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</si>
  <si>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"Закупка контейнерных бункеров для сбора твердых бытовых отходов и утилизации"</t>
  </si>
  <si>
    <t>Основное мероприятие "Профилактические мероприятия направленные на борьбу с  наркоманией и распространением наркотиков"</t>
  </si>
  <si>
    <t>Основное мероприятие "Мероприятия молодежной политики и социальной адаптации молодежи"</t>
  </si>
  <si>
    <t>Основное мероприятие " Мероприятия, направленные на  профилактику безнадзорности и правонарушений несовершеннолетних"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</si>
  <si>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</si>
  <si>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</si>
  <si>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</si>
  <si>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"Комплекс мероприятий по формированию доступной среды жизнедеятельности"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</si>
  <si>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</si>
  <si>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"Мероприятия по строительству, реконструкции, ремонту и проектированию  автомобильных дорог общего пользования местного значения"</t>
  </si>
  <si>
    <t>Основное мероприятие "Проведение работ по созданию условий для привлечения граждан к осуществлению профилактики правонарушений и обеспечения безопасности дорожного движения в границах Алексеевского муниципального района"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</si>
  <si>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</si>
  <si>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</si>
  <si>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Телевидение и радиовещание</t>
  </si>
  <si>
    <t>1201</t>
  </si>
  <si>
    <t>Основное мероприятие "Финансовая поддержка  молодежи, имеющей способности к ведению предпринимательской деятельности в виде денежных грантов"</t>
  </si>
  <si>
    <t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t>
  </si>
  <si>
    <t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t>
  </si>
  <si>
    <t>Муниципальная программа  "Развитие муниципальной службы в администрации Алексеевского муниципального района Волгоградской области на 2016-2018 годы"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</si>
  <si>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</si>
  <si>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Муниципальная программа "Организация отдыха и оздоровление детей в Алексеевском муниципальном районе Волгоградской области на 2016-2018 годы"</t>
  </si>
  <si>
    <t xml:space="preserve"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</si>
  <si>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</si>
  <si>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</si>
  <si>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t>
  </si>
  <si>
    <t>Основное мероприятие "Организация отдыха и оздоровление детей на территории Алексеевского муниципального района"</t>
  </si>
  <si>
    <t>Муниципальная программа "Маршрут Победы на 2016-2018 годы"</t>
  </si>
  <si>
    <t>Муниципальная программа "Устойчивое развитие сельских территорий  Алексеевского муниципального района на  2014-2017 годы и на период до 2020 года"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</si>
  <si>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</si>
  <si>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За счет средств на софинансирование из федерального бюджета</t>
  </si>
  <si>
    <t>Подпрограмма «Газификация Алексеевского муниципального района»</t>
  </si>
  <si>
    <t>Мероприятия по развитию газификации в сельской местности за счет субсидий из областного бюджета</t>
  </si>
  <si>
    <t>Основное мероприятие "Мероприятия по развитию газификации в сельской местности"</t>
  </si>
  <si>
    <t>Основное мероприятие "Мероприятия по ремонту объектов муниципальной собственности"</t>
  </si>
  <si>
    <t>Закупка товаров, работ и услуг в целях ремонта объектов муниципальной собственности</t>
  </si>
  <si>
    <t>Муниципальная программа «Профилактика терроризма и экстремизма на территории  Алексеевского муниципального района на 2016-2018 годы"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</si>
  <si>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</si>
  <si>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Основное мероприятие "Мероприятия по реализации мер по поддержке ветеранов ВОВ, их вдов, тружеников тыла"</t>
  </si>
  <si>
    <t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</si>
  <si>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</si>
  <si>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t>
  </si>
  <si>
    <t>22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</si>
  <si>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"</t>
  </si>
  <si>
    <t>08</t>
  </si>
  <si>
    <t>300</t>
  </si>
  <si>
    <t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</si>
  <si>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</si>
  <si>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t>
  </si>
  <si>
    <t>2017 год  с учетом изменений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</si>
  <si>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01.01.2017 г.  за счет средств областного бюджета 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</si>
  <si>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t>
  </si>
  <si>
    <t>Ведомственная целевая программа "Развитие общего образования детей на  территории  Алексеевского муниципального района на 2017-2019 годы"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</si>
  <si>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01.01.2017 г. за счет средств областного бюджета </t>
  </si>
  <si>
    <t>Дополнительное образование детей</t>
  </si>
  <si>
    <t>0703</t>
  </si>
  <si>
    <t>Распределение  бюджетных ассигнований  на реализацию ведомственных целевых программ на 2017 год и плановый период 2018-2019 годов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</si>
  <si>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</si>
  <si>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</si>
  <si>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</si>
  <si>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</si>
  <si>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</si>
  <si>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</si>
  <si>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Муниципальная программа и непрограммное направление деятельности</t>
  </si>
  <si>
    <t>1101</t>
  </si>
  <si>
    <t>Физическая культура</t>
  </si>
  <si>
    <t>Капитальные вложения в объекты государственной (муниципальной) собственности (средства федерального бюджета)</t>
  </si>
  <si>
    <t>Капитальные вложения в объекты государственной (муниципальной) собственности (средства областного бюджета)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</si>
  <si>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</si>
  <si>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</si>
  <si>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Другие вопросы в области физической культуры и спорта</t>
  </si>
  <si>
    <t>Предоставление субсидий бюджетным, автономным учреждениям и иным некоммерческим организациям за счет средств местного бюджета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</si>
  <si>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</si>
  <si>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Предоставление субсидий бюджетным, автономным учреждениям и иным некоммерческим организациям за счет средств федерального бюджета</t>
  </si>
  <si>
    <t>Основное мероприятие "Создание в общеобразовательных организациях условий для занятий физической культурой и спортом "</t>
  </si>
  <si>
    <t>06</t>
  </si>
  <si>
    <t>Муниципальная программа  "Развитие культуры и искусства в Алексеевском муниципальном районе на 2017-2019 годы"</t>
  </si>
  <si>
    <t>Основное мероприятие " Мероприятия, направленные на  стабилизацию обстановки в семье, оказавшейся в социально опасном положении"</t>
  </si>
  <si>
    <t>Основное мероприятие " Мероприятия, направленные на  формирование среды, доброжелательной к детям"</t>
  </si>
  <si>
    <t>Основное мероприятие "Укрепление материально-технической базы учреждений культуры и модернизация прилегающих территорий"</t>
  </si>
  <si>
    <t xml:space="preserve">Субсидии на поощрение победителей конкурса на лучшую организацию работы в представительных органах местного самоуправления 
на 2017 год
</t>
  </si>
  <si>
    <t>09</t>
  </si>
  <si>
    <t>Муниципальная программа "Благоустройство территорий образовательных учреждений Алексеевского муниципального района на 2017 год"</t>
  </si>
  <si>
    <t>Основное мероприятие "Благоустройство территорий образовательных учреждений Алексеевского муниципального района на 2017 год"</t>
  </si>
  <si>
    <t>Распределение бюджетных ассигнований на реализацию муниципальных целевых программ на 2017 год и плановый период 2018-2019 годов</t>
  </si>
  <si>
    <t>Основное мероприятие "Мероприятия по подготовке к отопительному сезону объектов социальной сферы"</t>
  </si>
  <si>
    <t>Распределение бюджетных ассигнований по разделам и подразделам, целевым статьям и видам расходов районного бюджета на 2017 год и плановый период 2018-2019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</si>
  <si>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9 месяцев 2017 год</t>
  </si>
  <si>
    <t>% исполнения</t>
  </si>
  <si>
    <t>Исполнено за 9 месяцев 2017 года</t>
  </si>
  <si>
    <t xml:space="preserve">                     Приложение 2        </t>
  </si>
  <si>
    <t>от 27.10.2017 г. № 8/52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</si>
  <si>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</si>
  <si>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</si>
  <si>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</si>
  <si>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</si>
  <si>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"__"__________2017 г.№________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</si>
  <si>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9 месяцев 2017 года </t>
  </si>
  <si>
    <t>Приложение №3</t>
  </si>
  <si>
    <t>УТВЕРЖДЕНО</t>
  </si>
  <si>
    <t>решением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</si>
</sst>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34" fillId="0" borderId="0" xfId="0" applyFont="1" applyFill="1" applyAlignment="1">
      <alignment/>
    </xf>
    <xf numFmtId="0" fontId="0" fillId="24" borderId="0" xfId="0" applyFill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10" fillId="24" borderId="0" xfId="53" applyFont="1" applyFill="1">
      <alignment/>
      <protection/>
    </xf>
    <xf numFmtId="0" fontId="1" fillId="0" borderId="0" xfId="53">
      <alignment/>
      <protection/>
    </xf>
    <xf numFmtId="0" fontId="10" fillId="24" borderId="0" xfId="53" applyFont="1" applyFill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ill="1" applyAlignment="1">
      <alignment/>
    </xf>
    <xf numFmtId="0" fontId="7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12" fillId="24" borderId="10" xfId="0" applyNumberFormat="1" applyFont="1" applyFill="1" applyBorder="1" applyAlignment="1">
      <alignment horizontal="center" wrapText="1"/>
    </xf>
    <xf numFmtId="177" fontId="12" fillId="24" borderId="10" xfId="0" applyNumberFormat="1" applyFont="1" applyFill="1" applyBorder="1" applyAlignment="1">
      <alignment horizontal="right" wrapText="1"/>
    </xf>
    <xf numFmtId="49" fontId="12" fillId="24" borderId="10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1" fontId="2" fillId="24" borderId="0" xfId="0" applyNumberFormat="1" applyFont="1" applyFill="1" applyAlignment="1">
      <alignment horizontal="center" vertical="top" wrapText="1"/>
    </xf>
    <xf numFmtId="172" fontId="2" fillId="24" borderId="0" xfId="0" applyNumberFormat="1" applyFont="1" applyFill="1" applyAlignment="1">
      <alignment horizontal="center" vertical="top" wrapText="1"/>
    </xf>
    <xf numFmtId="0" fontId="2" fillId="24" borderId="0" xfId="0" applyNumberFormat="1" applyFont="1" applyFill="1" applyAlignment="1">
      <alignment horizontal="left" vertical="top" wrapText="1"/>
    </xf>
    <xf numFmtId="179" fontId="12" fillId="24" borderId="10" xfId="0" applyNumberFormat="1" applyFont="1" applyFill="1" applyBorder="1" applyAlignment="1">
      <alignment horizontal="center" wrapText="1"/>
    </xf>
    <xf numFmtId="1" fontId="12" fillId="24" borderId="10" xfId="0" applyNumberFormat="1" applyFont="1" applyFill="1" applyBorder="1" applyAlignment="1">
      <alignment horizontal="center" wrapText="1"/>
    </xf>
    <xf numFmtId="173" fontId="12" fillId="24" borderId="10" xfId="0" applyNumberFormat="1" applyFont="1" applyFill="1" applyBorder="1" applyAlignment="1">
      <alignment horizontal="right" wrapText="1"/>
    </xf>
    <xf numFmtId="49" fontId="11" fillId="0" borderId="11" xfId="0" applyNumberFormat="1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0" fontId="7" fillId="24" borderId="10" xfId="53" applyFont="1" applyFill="1" applyBorder="1" applyAlignment="1">
      <alignment horizontal="center" vertical="top" wrapText="1"/>
      <protection/>
    </xf>
    <xf numFmtId="0" fontId="11" fillId="24" borderId="10" xfId="0" applyNumberFormat="1" applyFont="1" applyFill="1" applyBorder="1" applyAlignment="1">
      <alignment horizontal="center" vertical="center" wrapText="1"/>
    </xf>
    <xf numFmtId="0" fontId="4" fillId="24" borderId="10" xfId="53" applyFont="1" applyFill="1" applyBorder="1" applyAlignment="1">
      <alignment horizontal="left" vertical="top" wrapText="1"/>
      <protection/>
    </xf>
    <xf numFmtId="49" fontId="7" fillId="24" borderId="10" xfId="53" applyNumberFormat="1" applyFont="1" applyFill="1" applyBorder="1" applyAlignment="1">
      <alignment horizontal="left" vertical="top" wrapText="1"/>
      <protection/>
    </xf>
    <xf numFmtId="0" fontId="9" fillId="24" borderId="10" xfId="53" applyFont="1" applyFill="1" applyBorder="1" applyAlignment="1">
      <alignment horizontal="left" vertical="top" wrapText="1"/>
      <protection/>
    </xf>
    <xf numFmtId="49" fontId="13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49" fontId="13" fillId="24" borderId="12" xfId="0" applyNumberFormat="1" applyFont="1" applyFill="1" applyBorder="1" applyAlignment="1">
      <alignment horizontal="center" vertical="center" wrapText="1"/>
    </xf>
    <xf numFmtId="1" fontId="13" fillId="24" borderId="12" xfId="0" applyNumberFormat="1" applyFont="1" applyFill="1" applyBorder="1" applyAlignment="1">
      <alignment horizontal="center" vertical="center" wrapText="1"/>
    </xf>
    <xf numFmtId="0" fontId="13" fillId="24" borderId="12" xfId="0" applyNumberFormat="1" applyFont="1" applyFill="1" applyBorder="1" applyAlignment="1">
      <alignment horizontal="center" vertical="center" wrapText="1"/>
    </xf>
    <xf numFmtId="0" fontId="12" fillId="24" borderId="12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left" vertical="center" wrapText="1"/>
    </xf>
    <xf numFmtId="173" fontId="12" fillId="24" borderId="10" xfId="53" applyNumberFormat="1" applyFont="1" applyFill="1" applyBorder="1" applyAlignment="1">
      <alignment horizontal="right" vertical="center" wrapText="1"/>
      <protection/>
    </xf>
    <xf numFmtId="49" fontId="4" fillId="24" borderId="10" xfId="53" applyNumberFormat="1" applyFont="1" applyFill="1" applyBorder="1" applyAlignment="1">
      <alignment horizontal="left" vertical="top" wrapText="1"/>
      <protection/>
    </xf>
    <xf numFmtId="49" fontId="14" fillId="0" borderId="10" xfId="0" applyNumberFormat="1" applyFont="1" applyFill="1" applyBorder="1" applyAlignment="1">
      <alignment horizontal="center" vertical="top" wrapText="1"/>
    </xf>
    <xf numFmtId="0" fontId="11" fillId="24" borderId="10" xfId="0" applyNumberFormat="1" applyFont="1" applyFill="1" applyBorder="1" applyAlignment="1">
      <alignment vertical="top" wrapText="1"/>
    </xf>
    <xf numFmtId="0" fontId="11" fillId="24" borderId="10" xfId="0" applyFont="1" applyFill="1" applyBorder="1" applyAlignment="1">
      <alignment vertical="top" wrapText="1"/>
    </xf>
    <xf numFmtId="0" fontId="15" fillId="24" borderId="12" xfId="0" applyNumberFormat="1" applyFont="1" applyFill="1" applyBorder="1" applyAlignment="1">
      <alignment horizontal="left" vertical="top" wrapText="1"/>
    </xf>
    <xf numFmtId="0" fontId="11" fillId="24" borderId="10" xfId="0" applyNumberFormat="1" applyFont="1" applyFill="1" applyBorder="1" applyAlignment="1">
      <alignment horizontal="left" vertical="top" wrapText="1"/>
    </xf>
    <xf numFmtId="0" fontId="15" fillId="24" borderId="10" xfId="0" applyNumberFormat="1" applyFont="1" applyFill="1" applyBorder="1" applyAlignment="1">
      <alignment horizontal="left" vertical="top" wrapText="1"/>
    </xf>
    <xf numFmtId="0" fontId="15" fillId="24" borderId="10" xfId="0" applyFont="1" applyFill="1" applyBorder="1" applyAlignment="1">
      <alignment vertical="top" wrapText="1"/>
    </xf>
    <xf numFmtId="0" fontId="7" fillId="24" borderId="10" xfId="0" applyNumberFormat="1" applyFont="1" applyFill="1" applyBorder="1" applyAlignment="1">
      <alignment vertical="top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0" fontId="11" fillId="24" borderId="11" xfId="0" applyNumberFormat="1" applyFont="1" applyFill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top" wrapText="1"/>
    </xf>
    <xf numFmtId="0" fontId="12" fillId="24" borderId="10" xfId="0" applyNumberFormat="1" applyFont="1" applyFill="1" applyBorder="1" applyAlignment="1">
      <alignment horizontal="left" vertical="center" wrapText="1"/>
    </xf>
    <xf numFmtId="0" fontId="35" fillId="24" borderId="10" xfId="0" applyNumberFormat="1" applyFont="1" applyFill="1" applyBorder="1" applyAlignment="1">
      <alignment horizontal="left" vertical="top" wrapText="1"/>
    </xf>
    <xf numFmtId="0" fontId="36" fillId="24" borderId="10" xfId="0" applyNumberFormat="1" applyFont="1" applyFill="1" applyBorder="1" applyAlignment="1">
      <alignment horizontal="left" vertical="top" wrapText="1"/>
    </xf>
    <xf numFmtId="0" fontId="10" fillId="24" borderId="0" xfId="53" applyFont="1" applyFill="1" applyAlignment="1">
      <alignment/>
      <protection/>
    </xf>
    <xf numFmtId="173" fontId="12" fillId="0" borderId="10" xfId="0" applyNumberFormat="1" applyFont="1" applyFill="1" applyBorder="1" applyAlignment="1">
      <alignment horizontal="right" vertical="center" wrapText="1"/>
    </xf>
    <xf numFmtId="174" fontId="13" fillId="24" borderId="10" xfId="0" applyNumberFormat="1" applyFont="1" applyFill="1" applyBorder="1" applyAlignment="1">
      <alignment horizontal="right" vertical="center" wrapText="1"/>
    </xf>
    <xf numFmtId="174" fontId="12" fillId="24" borderId="10" xfId="0" applyNumberFormat="1" applyFont="1" applyFill="1" applyBorder="1" applyAlignment="1">
      <alignment horizontal="right" vertical="center" wrapText="1"/>
    </xf>
    <xf numFmtId="174" fontId="13" fillId="24" borderId="12" xfId="0" applyNumberFormat="1" applyFont="1" applyFill="1" applyBorder="1" applyAlignment="1">
      <alignment horizontal="right" vertical="center" wrapText="1"/>
    </xf>
    <xf numFmtId="174" fontId="12" fillId="24" borderId="12" xfId="0" applyNumberFormat="1" applyFont="1" applyFill="1" applyBorder="1" applyAlignment="1">
      <alignment horizontal="right" vertical="center" wrapText="1"/>
    </xf>
    <xf numFmtId="173" fontId="12" fillId="0" borderId="10" xfId="0" applyNumberFormat="1" applyFont="1" applyFill="1" applyBorder="1" applyAlignment="1">
      <alignment horizontal="right" wrapText="1"/>
    </xf>
    <xf numFmtId="173" fontId="7" fillId="24" borderId="10" xfId="0" applyNumberFormat="1" applyFont="1" applyFill="1" applyBorder="1" applyAlignment="1">
      <alignment horizontal="right" vertical="center" wrapText="1"/>
    </xf>
    <xf numFmtId="172" fontId="12" fillId="24" borderId="11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173" fontId="7" fillId="24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 wrapText="1"/>
    </xf>
    <xf numFmtId="0" fontId="7" fillId="24" borderId="10" xfId="0" applyNumberFormat="1" applyFont="1" applyFill="1" applyBorder="1" applyAlignment="1">
      <alignment horizontal="center" wrapText="1"/>
    </xf>
    <xf numFmtId="173" fontId="7" fillId="24" borderId="10" xfId="0" applyNumberFormat="1" applyFont="1" applyFill="1" applyBorder="1" applyAlignment="1">
      <alignment horizontal="right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172" fontId="7" fillId="24" borderId="10" xfId="0" applyNumberFormat="1" applyFont="1" applyFill="1" applyBorder="1" applyAlignment="1">
      <alignment horizontal="center" vertical="center" wrapText="1"/>
    </xf>
    <xf numFmtId="0" fontId="12" fillId="24" borderId="13" xfId="53" applyFont="1" applyFill="1" applyBorder="1" applyAlignment="1">
      <alignment horizontal="right"/>
      <protection/>
    </xf>
    <xf numFmtId="0" fontId="10" fillId="24" borderId="0" xfId="53" applyFont="1" applyFill="1" applyAlignment="1">
      <alignment horizontal="right"/>
      <protection/>
    </xf>
    <xf numFmtId="0" fontId="10" fillId="24" borderId="0" xfId="53" applyFont="1" applyFill="1" applyAlignment="1">
      <alignment horizontal="center" wrapText="1" shrinkToFit="1"/>
      <protection/>
    </xf>
    <xf numFmtId="0" fontId="10" fillId="24" borderId="0" xfId="53" applyFont="1" applyFill="1" applyAlignment="1">
      <alignment/>
      <protection/>
    </xf>
    <xf numFmtId="172" fontId="12" fillId="0" borderId="13" xfId="0" applyNumberFormat="1" applyFont="1" applyBorder="1" applyAlignment="1">
      <alignment horizontal="right" vertical="top" wrapText="1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wrapText="1"/>
    </xf>
    <xf numFmtId="172" fontId="6" fillId="24" borderId="13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0" fontId="10" fillId="24" borderId="0" xfId="0" applyNumberFormat="1" applyFont="1" applyFill="1" applyAlignment="1">
      <alignment horizontal="center" wrapText="1"/>
    </xf>
    <xf numFmtId="172" fontId="11" fillId="24" borderId="13" xfId="0" applyNumberFormat="1" applyFont="1" applyFill="1" applyBorder="1" applyAlignment="1">
      <alignment horizontal="right" vertical="top" wrapText="1"/>
    </xf>
    <xf numFmtId="172" fontId="6" fillId="24" borderId="13" xfId="0" applyNumberFormat="1" applyFont="1" applyFill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10" zoomScaleNormal="110" zoomScalePageLayoutView="0" workbookViewId="0" topLeftCell="A1">
      <selection activeCell="J6" sqref="J6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00390625" style="21" customWidth="1"/>
    <col min="4" max="4" width="9.28125" style="21" customWidth="1"/>
    <col min="5" max="5" width="11.421875" style="21" customWidth="1"/>
    <col min="6" max="16384" width="9.140625" style="21" customWidth="1"/>
  </cols>
  <sheetData>
    <row r="1" spans="1:5" ht="16.5">
      <c r="A1" s="87" t="s">
        <v>332</v>
      </c>
      <c r="B1" s="87"/>
      <c r="C1" s="107" t="s">
        <v>330</v>
      </c>
      <c r="D1" s="107"/>
      <c r="E1" s="107"/>
    </row>
    <row r="2" spans="1:5" ht="16.5">
      <c r="A2" s="87"/>
      <c r="B2" s="87"/>
      <c r="C2" s="105" t="s">
        <v>339</v>
      </c>
      <c r="D2" s="105"/>
      <c r="E2" s="105"/>
    </row>
    <row r="3" spans="1:5" ht="16.5">
      <c r="A3" s="87"/>
      <c r="B3" s="87"/>
      <c r="C3" s="105" t="s">
        <v>340</v>
      </c>
      <c r="D3" s="105"/>
      <c r="E3" s="105"/>
    </row>
    <row r="4" spans="1:5" ht="16.5">
      <c r="A4" s="87"/>
      <c r="B4" s="105" t="s">
        <v>168</v>
      </c>
      <c r="C4" s="105"/>
      <c r="D4" s="105"/>
      <c r="E4" s="105"/>
    </row>
    <row r="5" spans="1:5" ht="16.5">
      <c r="A5" s="87"/>
      <c r="B5" s="105" t="s">
        <v>331</v>
      </c>
      <c r="C5" s="105"/>
      <c r="D5" s="105"/>
      <c r="E5" s="105"/>
    </row>
    <row r="6" spans="1:5" ht="59.25" customHeight="1">
      <c r="A6" s="106" t="s">
        <v>337</v>
      </c>
      <c r="B6" s="106"/>
      <c r="C6" s="106"/>
      <c r="D6" s="106"/>
      <c r="E6" s="106"/>
    </row>
    <row r="7" spans="1:5" ht="16.5">
      <c r="A7" s="22" t="s">
        <v>144</v>
      </c>
      <c r="B7" s="20"/>
      <c r="C7" s="20"/>
      <c r="D7" s="104" t="s">
        <v>182</v>
      </c>
      <c r="E7" s="104"/>
    </row>
    <row r="8" spans="1:5" ht="51">
      <c r="A8" s="55" t="s">
        <v>145</v>
      </c>
      <c r="B8" s="55" t="s">
        <v>146</v>
      </c>
      <c r="C8" s="49" t="s">
        <v>289</v>
      </c>
      <c r="D8" s="49" t="s">
        <v>329</v>
      </c>
      <c r="E8" s="49" t="s">
        <v>328</v>
      </c>
    </row>
    <row r="9" spans="1:5" ht="16.5" customHeight="1">
      <c r="A9" s="70" t="s">
        <v>48</v>
      </c>
      <c r="B9" s="57" t="s">
        <v>147</v>
      </c>
      <c r="C9" s="69">
        <f>SUM(C10:C18)</f>
        <v>65223.31</v>
      </c>
      <c r="D9" s="69">
        <f>SUM(D10:D18)</f>
        <v>50932.82799</v>
      </c>
      <c r="E9" s="69">
        <f>SUM(D9/C9)*100</f>
        <v>78.08991599782348</v>
      </c>
    </row>
    <row r="10" spans="1:5" ht="29.25" customHeight="1">
      <c r="A10" s="70" t="s">
        <v>49</v>
      </c>
      <c r="B10" s="57" t="s">
        <v>148</v>
      </c>
      <c r="C10" s="69">
        <f>SUM('Таблица №7'!F11)</f>
        <v>1367.1</v>
      </c>
      <c r="D10" s="69">
        <f>SUM('Таблица №7'!G11)</f>
        <v>1167.44662</v>
      </c>
      <c r="E10" s="69">
        <f>SUM(D10/C10)*100</f>
        <v>85.39584668275913</v>
      </c>
    </row>
    <row r="11" spans="1:5" ht="28.5" customHeight="1">
      <c r="A11" s="70" t="s">
        <v>34</v>
      </c>
      <c r="B11" s="57" t="s">
        <v>149</v>
      </c>
      <c r="C11" s="69">
        <f>SUM('Таблица №7'!F14)</f>
        <v>390</v>
      </c>
      <c r="D11" s="69">
        <f>SUM('Таблица №7'!G14)</f>
        <v>326.88075</v>
      </c>
      <c r="E11" s="69">
        <f>SUM(D11/C11)*100</f>
        <v>83.81557692307692</v>
      </c>
    </row>
    <row r="12" spans="1:5" ht="19.5" customHeight="1">
      <c r="A12" s="70" t="s">
        <v>47</v>
      </c>
      <c r="B12" s="57" t="s">
        <v>150</v>
      </c>
      <c r="C12" s="69">
        <f>SUM('Таблица №7'!F21)</f>
        <v>28275</v>
      </c>
      <c r="D12" s="69">
        <f>SUM('Таблица №7'!G21)</f>
        <v>21069.44961</v>
      </c>
      <c r="E12" s="69">
        <f>SUM(D12/C12)*100</f>
        <v>74.51617899204244</v>
      </c>
    </row>
    <row r="13" spans="1:5" ht="15" customHeight="1">
      <c r="A13" s="70" t="s">
        <v>50</v>
      </c>
      <c r="B13" s="57" t="s">
        <v>42</v>
      </c>
      <c r="C13" s="69">
        <f>SUM('Приложение 3'!G52)</f>
        <v>0</v>
      </c>
      <c r="D13" s="69">
        <f>SUM('Приложение 3'!H52)</f>
        <v>0</v>
      </c>
      <c r="E13" s="69">
        <v>0</v>
      </c>
    </row>
    <row r="14" spans="1:5" ht="42.75" customHeight="1">
      <c r="A14" s="70" t="s">
        <v>38</v>
      </c>
      <c r="B14" s="57" t="s">
        <v>151</v>
      </c>
      <c r="C14" s="69">
        <f>SUM('Таблица №7'!F44)</f>
        <v>1486</v>
      </c>
      <c r="D14" s="69">
        <f>SUM('Таблица №7'!G44)</f>
        <v>933.50684</v>
      </c>
      <c r="E14" s="69">
        <f>SUM(D14/C14)*100</f>
        <v>62.820110363391656</v>
      </c>
    </row>
    <row r="15" spans="1:5" ht="16.5" customHeight="1">
      <c r="A15" s="70" t="s">
        <v>51</v>
      </c>
      <c r="B15" s="57" t="s">
        <v>43</v>
      </c>
      <c r="C15" s="69">
        <f>SUM('Таблица №7'!F51)</f>
        <v>0</v>
      </c>
      <c r="D15" s="69">
        <f>SUM('Таблица №7'!G51)</f>
        <v>0</v>
      </c>
      <c r="E15" s="69">
        <v>0</v>
      </c>
    </row>
    <row r="16" spans="1:5" ht="16.5" customHeight="1">
      <c r="A16" s="70" t="s">
        <v>52</v>
      </c>
      <c r="B16" s="57" t="s">
        <v>152</v>
      </c>
      <c r="C16" s="69">
        <f>SUM('Таблица №7'!F55)</f>
        <v>320</v>
      </c>
      <c r="D16" s="69">
        <f>SUM('Таблица №7'!G55)</f>
        <v>0</v>
      </c>
      <c r="E16" s="69">
        <f>SUM(D16/C16)*100</f>
        <v>0</v>
      </c>
    </row>
    <row r="17" spans="1:5" ht="16.5" customHeight="1">
      <c r="A17" s="70" t="s">
        <v>35</v>
      </c>
      <c r="B17" s="57" t="s">
        <v>53</v>
      </c>
      <c r="C17" s="69">
        <f>SUM('Таблица №7'!F57)-C18</f>
        <v>33385.21</v>
      </c>
      <c r="D17" s="69">
        <f>SUM('Таблица №7'!G57)-D18</f>
        <v>27435.54417</v>
      </c>
      <c r="E17" s="69">
        <f>SUM(D17/C17)*100</f>
        <v>82.17873774045454</v>
      </c>
    </row>
    <row r="18" spans="1:5" ht="16.5" customHeight="1">
      <c r="A18" s="70" t="s">
        <v>35</v>
      </c>
      <c r="B18" s="57" t="s">
        <v>57</v>
      </c>
      <c r="C18" s="69">
        <f>SUM('Таблица №7'!F85)</f>
        <v>0</v>
      </c>
      <c r="D18" s="69">
        <f>SUM('Таблица №7'!G85)</f>
        <v>0</v>
      </c>
      <c r="E18" s="69">
        <v>0</v>
      </c>
    </row>
    <row r="19" spans="1:5" ht="16.5" customHeight="1">
      <c r="A19" s="70" t="s">
        <v>132</v>
      </c>
      <c r="B19" s="57" t="s">
        <v>153</v>
      </c>
      <c r="C19" s="69">
        <f>SUM(C20)</f>
        <v>20</v>
      </c>
      <c r="D19" s="69">
        <f>SUM(D20)</f>
        <v>0</v>
      </c>
      <c r="E19" s="69">
        <f aca="true" t="shared" si="0" ref="E19:E27">SUM(D19/C19)*100</f>
        <v>0</v>
      </c>
    </row>
    <row r="20" spans="1:5" ht="16.5" customHeight="1">
      <c r="A20" s="70" t="s">
        <v>60</v>
      </c>
      <c r="B20" s="57" t="s">
        <v>59</v>
      </c>
      <c r="C20" s="69">
        <f>SUM('Таблица №7'!F86)</f>
        <v>20</v>
      </c>
      <c r="D20" s="69">
        <f>SUM('Таблица №7'!G86)</f>
        <v>0</v>
      </c>
      <c r="E20" s="69">
        <f t="shared" si="0"/>
        <v>0</v>
      </c>
    </row>
    <row r="21" spans="1:5" ht="27.75" customHeight="1">
      <c r="A21" s="70" t="s">
        <v>133</v>
      </c>
      <c r="B21" s="57" t="s">
        <v>137</v>
      </c>
      <c r="C21" s="69">
        <f>SUM(C22:C22)</f>
        <v>270</v>
      </c>
      <c r="D21" s="69">
        <f>SUM(D22:D22)</f>
        <v>177.666</v>
      </c>
      <c r="E21" s="69">
        <f t="shared" si="0"/>
        <v>65.80222222222221</v>
      </c>
    </row>
    <row r="22" spans="1:5" ht="42.75" customHeight="1">
      <c r="A22" s="70" t="s">
        <v>61</v>
      </c>
      <c r="B22" s="57" t="s">
        <v>154</v>
      </c>
      <c r="C22" s="69">
        <f>SUM('Таблица №7'!F91)</f>
        <v>270</v>
      </c>
      <c r="D22" s="69">
        <f>SUM('Таблица №7'!G91)</f>
        <v>177.666</v>
      </c>
      <c r="E22" s="69">
        <f t="shared" si="0"/>
        <v>65.80222222222221</v>
      </c>
    </row>
    <row r="23" spans="1:5" ht="15.75" customHeight="1">
      <c r="A23" s="70" t="s">
        <v>72</v>
      </c>
      <c r="B23" s="57" t="s">
        <v>140</v>
      </c>
      <c r="C23" s="69">
        <f>SUM(C24:C26)</f>
        <v>20163.062719999998</v>
      </c>
      <c r="D23" s="69">
        <f>SUM(D24:D26)</f>
        <v>10082.62873</v>
      </c>
      <c r="E23" s="69">
        <f t="shared" si="0"/>
        <v>50.00544247674691</v>
      </c>
    </row>
    <row r="24" spans="1:5" ht="15.75" customHeight="1">
      <c r="A24" s="70" t="s">
        <v>172</v>
      </c>
      <c r="B24" s="57" t="s">
        <v>171</v>
      </c>
      <c r="C24" s="69">
        <f>SUM('Таблица №7'!F99)</f>
        <v>21.3</v>
      </c>
      <c r="D24" s="69">
        <f>SUM('Таблица №7'!G99)</f>
        <v>0</v>
      </c>
      <c r="E24" s="69">
        <f t="shared" si="0"/>
        <v>0</v>
      </c>
    </row>
    <row r="25" spans="1:5" ht="15.75" customHeight="1">
      <c r="A25" s="70" t="s">
        <v>62</v>
      </c>
      <c r="B25" s="57" t="s">
        <v>141</v>
      </c>
      <c r="C25" s="69">
        <f>SUM('Таблица №7'!F103)</f>
        <v>16886.76272</v>
      </c>
      <c r="D25" s="69">
        <f>SUM('Таблица №7'!G103)</f>
        <v>9844.634</v>
      </c>
      <c r="E25" s="69">
        <f t="shared" si="0"/>
        <v>58.29793527175231</v>
      </c>
    </row>
    <row r="26" spans="1:5" ht="15.75" customHeight="1">
      <c r="A26" s="70" t="s">
        <v>64</v>
      </c>
      <c r="B26" s="57" t="s">
        <v>142</v>
      </c>
      <c r="C26" s="69">
        <f>SUM('Таблица №7'!F107)</f>
        <v>3255</v>
      </c>
      <c r="D26" s="69">
        <f>SUM('Таблица №7'!G107)</f>
        <v>237.99473</v>
      </c>
      <c r="E26" s="69">
        <f t="shared" si="0"/>
        <v>7.311666052227343</v>
      </c>
    </row>
    <row r="27" spans="1:5" ht="15.75" customHeight="1">
      <c r="A27" s="70" t="s">
        <v>68</v>
      </c>
      <c r="B27" s="57" t="s">
        <v>155</v>
      </c>
      <c r="C27" s="69">
        <f>SUM(C28:C30)</f>
        <v>18937.1</v>
      </c>
      <c r="D27" s="69">
        <f>SUM(D28:D30)</f>
        <v>5196.02107</v>
      </c>
      <c r="E27" s="69">
        <f t="shared" si="0"/>
        <v>27.438314578261718</v>
      </c>
    </row>
    <row r="28" spans="1:5" ht="15.75" customHeight="1">
      <c r="A28" s="70" t="s">
        <v>194</v>
      </c>
      <c r="B28" s="57" t="s">
        <v>193</v>
      </c>
      <c r="C28" s="69">
        <f>SUM('Таблица №7'!F120)</f>
        <v>0</v>
      </c>
      <c r="D28" s="69">
        <f>SUM('Таблица №7'!G120)</f>
        <v>0</v>
      </c>
      <c r="E28" s="69">
        <v>0</v>
      </c>
    </row>
    <row r="29" spans="1:5" ht="15.75" customHeight="1">
      <c r="A29" s="70" t="s">
        <v>69</v>
      </c>
      <c r="B29" s="57" t="s">
        <v>65</v>
      </c>
      <c r="C29" s="69">
        <f>SUM('Таблица №7'!F123)</f>
        <v>18937.1</v>
      </c>
      <c r="D29" s="69">
        <f>SUM('Таблица №7'!G123)</f>
        <v>5196.02107</v>
      </c>
      <c r="E29" s="69">
        <f>SUM(D29/C29)*100</f>
        <v>27.438314578261718</v>
      </c>
    </row>
    <row r="30" spans="1:5" ht="15.75" customHeight="1">
      <c r="A30" s="70" t="s">
        <v>156</v>
      </c>
      <c r="B30" s="57" t="s">
        <v>157</v>
      </c>
      <c r="C30" s="69">
        <v>0</v>
      </c>
      <c r="D30" s="69">
        <v>0</v>
      </c>
      <c r="E30" s="69">
        <v>0</v>
      </c>
    </row>
    <row r="31" spans="1:5" ht="15.75" customHeight="1">
      <c r="A31" s="70" t="s">
        <v>134</v>
      </c>
      <c r="B31" s="57" t="s">
        <v>70</v>
      </c>
      <c r="C31" s="69">
        <f>SUM(C32)</f>
        <v>50</v>
      </c>
      <c r="D31" s="69">
        <f>SUM(D32)</f>
        <v>0</v>
      </c>
      <c r="E31" s="69">
        <f aca="true" t="shared" si="1" ref="E31:E52">SUM(D31/C31)*100</f>
        <v>0</v>
      </c>
    </row>
    <row r="32" spans="1:5" ht="15.75" customHeight="1">
      <c r="A32" s="70" t="s">
        <v>73</v>
      </c>
      <c r="B32" s="57" t="s">
        <v>71</v>
      </c>
      <c r="C32" s="69">
        <f>SUM('Таблица №7'!F138)</f>
        <v>50</v>
      </c>
      <c r="D32" s="69">
        <f>SUM('Таблица №7'!G138)</f>
        <v>0</v>
      </c>
      <c r="E32" s="69">
        <f t="shared" si="1"/>
        <v>0</v>
      </c>
    </row>
    <row r="33" spans="1:5" ht="18" customHeight="1">
      <c r="A33" s="70" t="s">
        <v>77</v>
      </c>
      <c r="B33" s="57" t="s">
        <v>74</v>
      </c>
      <c r="C33" s="69">
        <f>SUM(C34:C38)</f>
        <v>166595.67148000002</v>
      </c>
      <c r="D33" s="69">
        <f>SUM(D34:D38)</f>
        <v>142028.88823</v>
      </c>
      <c r="E33" s="69">
        <f t="shared" si="1"/>
        <v>85.25364853014847</v>
      </c>
    </row>
    <row r="34" spans="1:5" ht="18" customHeight="1">
      <c r="A34" s="70" t="s">
        <v>76</v>
      </c>
      <c r="B34" s="57" t="s">
        <v>75</v>
      </c>
      <c r="C34" s="69">
        <f>SUM('Таблица №7'!F142)</f>
        <v>27141.841879999993</v>
      </c>
      <c r="D34" s="69">
        <f>SUM('Таблица №7'!G142)</f>
        <v>23553.775659999996</v>
      </c>
      <c r="E34" s="69">
        <f t="shared" si="1"/>
        <v>86.78031418846362</v>
      </c>
    </row>
    <row r="35" spans="1:5" ht="18" customHeight="1">
      <c r="A35" s="70" t="s">
        <v>78</v>
      </c>
      <c r="B35" s="57" t="s">
        <v>83</v>
      </c>
      <c r="C35" s="69">
        <f>SUM('Таблица №7'!F157)</f>
        <v>119336.47312</v>
      </c>
      <c r="D35" s="69">
        <f>SUM('Таблица №7'!G157)</f>
        <v>103495.89012000003</v>
      </c>
      <c r="E35" s="69">
        <f t="shared" si="1"/>
        <v>86.7261176856875</v>
      </c>
    </row>
    <row r="36" spans="1:5" ht="18" customHeight="1">
      <c r="A36" s="70" t="s">
        <v>295</v>
      </c>
      <c r="B36" s="57" t="s">
        <v>294</v>
      </c>
      <c r="C36" s="69">
        <f>SUM('Таблица №7'!F193)</f>
        <v>11345.6</v>
      </c>
      <c r="D36" s="69">
        <f>SUM('Таблица №7'!G193)</f>
        <v>7637.713299999999</v>
      </c>
      <c r="E36" s="69">
        <f t="shared" si="1"/>
        <v>67.3187253208292</v>
      </c>
    </row>
    <row r="37" spans="1:5" ht="18" customHeight="1">
      <c r="A37" s="70" t="s">
        <v>84</v>
      </c>
      <c r="B37" s="57" t="s">
        <v>158</v>
      </c>
      <c r="C37" s="69">
        <f>SUM('Таблица №7'!F206)</f>
        <v>8121.75648</v>
      </c>
      <c r="D37" s="69">
        <f>SUM('Таблица №7'!G206)</f>
        <v>6808.64111</v>
      </c>
      <c r="E37" s="69">
        <f t="shared" si="1"/>
        <v>83.83212580636251</v>
      </c>
    </row>
    <row r="38" spans="1:5" ht="18" customHeight="1">
      <c r="A38" s="70" t="s">
        <v>87</v>
      </c>
      <c r="B38" s="57" t="s">
        <v>86</v>
      </c>
      <c r="C38" s="69">
        <f>SUM('Таблица №7'!F231)</f>
        <v>650</v>
      </c>
      <c r="D38" s="69">
        <f>SUM('Таблица №7'!G231)</f>
        <v>532.8680400000001</v>
      </c>
      <c r="E38" s="69">
        <f t="shared" si="1"/>
        <v>81.97969846153848</v>
      </c>
    </row>
    <row r="39" spans="1:5" ht="18" customHeight="1">
      <c r="A39" s="70" t="s">
        <v>135</v>
      </c>
      <c r="B39" s="57" t="s">
        <v>159</v>
      </c>
      <c r="C39" s="69">
        <f>SUM(C40:C42)</f>
        <v>17330.702</v>
      </c>
      <c r="D39" s="69">
        <f>SUM(D40:D42)</f>
        <v>10854.28324</v>
      </c>
      <c r="E39" s="69">
        <f t="shared" si="1"/>
        <v>62.630372618489424</v>
      </c>
    </row>
    <row r="40" spans="1:5" ht="18" customHeight="1">
      <c r="A40" s="70" t="s">
        <v>94</v>
      </c>
      <c r="B40" s="57" t="s">
        <v>136</v>
      </c>
      <c r="C40" s="69">
        <f>SUM('Таблица №7'!F239)</f>
        <v>16175.702000000001</v>
      </c>
      <c r="D40" s="69">
        <f>SUM('Таблица №7'!G239)</f>
        <v>9924.4612</v>
      </c>
      <c r="E40" s="69">
        <f t="shared" si="1"/>
        <v>61.35412979294499</v>
      </c>
    </row>
    <row r="41" spans="1:5" ht="18" customHeight="1">
      <c r="A41" s="70" t="s">
        <v>95</v>
      </c>
      <c r="B41" s="57" t="s">
        <v>92</v>
      </c>
      <c r="C41" s="69">
        <f>SUM('Таблица №7'!F263)</f>
        <v>309</v>
      </c>
      <c r="D41" s="69">
        <f>SUM('Таблица №7'!G263)</f>
        <v>179.37</v>
      </c>
      <c r="E41" s="69">
        <f t="shared" si="1"/>
        <v>58.04854368932039</v>
      </c>
    </row>
    <row r="42" spans="1:5" ht="31.5" customHeight="1">
      <c r="A42" s="70" t="s">
        <v>96</v>
      </c>
      <c r="B42" s="57" t="s">
        <v>93</v>
      </c>
      <c r="C42" s="69">
        <f>SUM('Таблица №7'!F265)</f>
        <v>846</v>
      </c>
      <c r="D42" s="69">
        <f>SUM('Таблица №7'!G265)</f>
        <v>750.45204</v>
      </c>
      <c r="E42" s="69">
        <f t="shared" si="1"/>
        <v>88.70591489361702</v>
      </c>
    </row>
    <row r="43" spans="1:5" ht="20.25" customHeight="1">
      <c r="A43" s="70" t="s">
        <v>299</v>
      </c>
      <c r="B43" s="57" t="s">
        <v>298</v>
      </c>
      <c r="C43" s="69">
        <f>SUM(C44)</f>
        <v>5600</v>
      </c>
      <c r="D43" s="69">
        <f>SUM(D44)</f>
        <v>0</v>
      </c>
      <c r="E43" s="69">
        <f t="shared" si="1"/>
        <v>0</v>
      </c>
    </row>
    <row r="44" spans="1:5" ht="21" customHeight="1">
      <c r="A44" s="70" t="s">
        <v>301</v>
      </c>
      <c r="B44" s="57" t="s">
        <v>300</v>
      </c>
      <c r="C44" s="69">
        <f>SUM('Таблица №7'!F268)</f>
        <v>5600</v>
      </c>
      <c r="D44" s="69">
        <f>SUM('Таблица №7'!G268)</f>
        <v>0</v>
      </c>
      <c r="E44" s="69">
        <f t="shared" si="1"/>
        <v>0</v>
      </c>
    </row>
    <row r="45" spans="1:5" ht="18" customHeight="1">
      <c r="A45" s="70">
        <v>1000</v>
      </c>
      <c r="B45" s="57" t="s">
        <v>97</v>
      </c>
      <c r="C45" s="69">
        <f>SUM(C46:C48)</f>
        <v>20912.548</v>
      </c>
      <c r="D45" s="69">
        <f>SUM(D46:D48)</f>
        <v>16680.500340000002</v>
      </c>
      <c r="E45" s="69">
        <f t="shared" si="1"/>
        <v>79.76311800934063</v>
      </c>
    </row>
    <row r="46" spans="1:5" ht="18" customHeight="1">
      <c r="A46" s="70">
        <v>1001</v>
      </c>
      <c r="B46" s="57" t="s">
        <v>98</v>
      </c>
      <c r="C46" s="69">
        <f>SUM('Таблица №7'!F273)</f>
        <v>2200</v>
      </c>
      <c r="D46" s="69">
        <f>SUM('Таблица №7'!G273)</f>
        <v>1877.59198</v>
      </c>
      <c r="E46" s="69">
        <f t="shared" si="1"/>
        <v>85.34509</v>
      </c>
    </row>
    <row r="47" spans="1:5" ht="18" customHeight="1">
      <c r="A47" s="70">
        <v>1003</v>
      </c>
      <c r="B47" s="57" t="s">
        <v>102</v>
      </c>
      <c r="C47" s="69">
        <f>SUM('Таблица №7'!F276)</f>
        <v>13309.447999999999</v>
      </c>
      <c r="D47" s="69">
        <f>SUM('Таблица №7'!G276)</f>
        <v>10544.066310000002</v>
      </c>
      <c r="E47" s="69">
        <f t="shared" si="1"/>
        <v>79.22241636167033</v>
      </c>
    </row>
    <row r="48" spans="1:5" ht="18" customHeight="1">
      <c r="A48" s="70">
        <v>1004</v>
      </c>
      <c r="B48" s="57" t="s">
        <v>160</v>
      </c>
      <c r="C48" s="69">
        <f>SUM('Таблица №7'!F287)</f>
        <v>5403.1</v>
      </c>
      <c r="D48" s="69">
        <f>SUM('Таблица №7'!G287)</f>
        <v>4258.84205</v>
      </c>
      <c r="E48" s="69">
        <f t="shared" si="1"/>
        <v>78.82219559141974</v>
      </c>
    </row>
    <row r="49" spans="1:5" ht="18" customHeight="1">
      <c r="A49" s="70" t="s">
        <v>161</v>
      </c>
      <c r="B49" s="57" t="s">
        <v>162</v>
      </c>
      <c r="C49" s="69">
        <f>SUM(C50:C51)</f>
        <v>3739.66</v>
      </c>
      <c r="D49" s="69">
        <f>SUM(D50:D51)</f>
        <v>1746.91973</v>
      </c>
      <c r="E49" s="69">
        <f t="shared" si="1"/>
        <v>46.7133303562356</v>
      </c>
    </row>
    <row r="50" spans="1:5" ht="18" customHeight="1">
      <c r="A50" s="70" t="s">
        <v>304</v>
      </c>
      <c r="B50" s="57" t="s">
        <v>309</v>
      </c>
      <c r="C50" s="69">
        <f>SUM('Таблица №7'!F296)</f>
        <v>3039.66</v>
      </c>
      <c r="D50" s="69">
        <f>SUM('Таблица №7'!G296)</f>
        <v>1116.68473</v>
      </c>
      <c r="E50" s="69">
        <f t="shared" si="1"/>
        <v>36.7371590901614</v>
      </c>
    </row>
    <row r="51" spans="1:5" ht="26.25" customHeight="1">
      <c r="A51" s="70" t="s">
        <v>107</v>
      </c>
      <c r="B51" s="57" t="s">
        <v>310</v>
      </c>
      <c r="C51" s="69">
        <f>SUM('Таблица №7'!F303)</f>
        <v>700</v>
      </c>
      <c r="D51" s="69">
        <f>SUM('Таблица №7'!G303)</f>
        <v>630.235</v>
      </c>
      <c r="E51" s="69">
        <f t="shared" si="1"/>
        <v>90.03357142857143</v>
      </c>
    </row>
    <row r="52" spans="1:5" ht="18" customHeight="1">
      <c r="A52" s="70" t="s">
        <v>163</v>
      </c>
      <c r="B52" s="57" t="s">
        <v>108</v>
      </c>
      <c r="C52" s="69">
        <f>SUM(C53:C54)</f>
        <v>2359.843</v>
      </c>
      <c r="D52" s="69">
        <f>SUM(D53:D54)</f>
        <v>2099.843</v>
      </c>
      <c r="E52" s="69">
        <f t="shared" si="1"/>
        <v>88.98231789148684</v>
      </c>
    </row>
    <row r="53" spans="1:5" ht="18" customHeight="1">
      <c r="A53" s="70" t="s">
        <v>255</v>
      </c>
      <c r="B53" s="57" t="s">
        <v>254</v>
      </c>
      <c r="C53" s="69">
        <f>SUM('Приложение 3'!G316)</f>
        <v>0</v>
      </c>
      <c r="D53" s="69">
        <f>SUM('Приложение 3'!H316)</f>
        <v>0</v>
      </c>
      <c r="E53" s="69">
        <v>0</v>
      </c>
    </row>
    <row r="54" spans="1:5" ht="18" customHeight="1">
      <c r="A54" s="70" t="s">
        <v>110</v>
      </c>
      <c r="B54" s="57" t="s">
        <v>109</v>
      </c>
      <c r="C54" s="69">
        <f>SUM('Приложение 3'!G317)</f>
        <v>2359.843</v>
      </c>
      <c r="D54" s="69">
        <f>SUM('Приложение 3'!H317)</f>
        <v>2099.843</v>
      </c>
      <c r="E54" s="69">
        <f aca="true" t="shared" si="2" ref="E54:E59">SUM(D54/C54)*100</f>
        <v>88.98231789148684</v>
      </c>
    </row>
    <row r="55" spans="1:5" ht="29.25" customHeight="1">
      <c r="A55" s="70" t="s">
        <v>164</v>
      </c>
      <c r="B55" s="57" t="s">
        <v>111</v>
      </c>
      <c r="C55" s="69">
        <f>SUM(C56:C56)</f>
        <v>200</v>
      </c>
      <c r="D55" s="69">
        <f>SUM(D56:D56)</f>
        <v>0</v>
      </c>
      <c r="E55" s="69">
        <f t="shared" si="2"/>
        <v>0</v>
      </c>
    </row>
    <row r="56" spans="1:5" ht="31.5" customHeight="1">
      <c r="A56" s="70" t="s">
        <v>113</v>
      </c>
      <c r="B56" s="57" t="s">
        <v>112</v>
      </c>
      <c r="C56" s="69">
        <f>SUM('Таблица №7'!F312)</f>
        <v>200</v>
      </c>
      <c r="D56" s="69">
        <f>SUM('Таблица №7'!G312)</f>
        <v>0</v>
      </c>
      <c r="E56" s="69">
        <f t="shared" si="2"/>
        <v>0</v>
      </c>
    </row>
    <row r="57" spans="1:5" ht="43.5" customHeight="1">
      <c r="A57" s="70" t="s">
        <v>209</v>
      </c>
      <c r="B57" s="57" t="s">
        <v>208</v>
      </c>
      <c r="C57" s="69">
        <f>SUM(C58:C58)</f>
        <v>6368</v>
      </c>
      <c r="D57" s="69">
        <f>SUM(D58:D58)</f>
        <v>5187.25</v>
      </c>
      <c r="E57" s="69">
        <f t="shared" si="2"/>
        <v>81.4580716080402</v>
      </c>
    </row>
    <row r="58" spans="1:5" ht="31.5" customHeight="1">
      <c r="A58" s="70" t="s">
        <v>211</v>
      </c>
      <c r="B58" s="57" t="s">
        <v>210</v>
      </c>
      <c r="C58" s="69">
        <f>SUM('Приложение 3'!G327)</f>
        <v>6368</v>
      </c>
      <c r="D58" s="69">
        <f>SUM('Приложение 3'!H327)</f>
        <v>5187.25</v>
      </c>
      <c r="E58" s="69">
        <f t="shared" si="2"/>
        <v>81.4580716080402</v>
      </c>
    </row>
    <row r="59" spans="1:5" ht="21" customHeight="1">
      <c r="A59" s="58"/>
      <c r="B59" s="59" t="s">
        <v>165</v>
      </c>
      <c r="C59" s="69">
        <f>C9+C19+C21+C23+C27+C31+C33+C39+C45+C49+C52+C55+C57+C43</f>
        <v>327769.89719999995</v>
      </c>
      <c r="D59" s="69">
        <f>D9+D19+D21+D23+D27+D31+D33+D39+D45+D49+D52+D55+D57+D43</f>
        <v>244986.82833</v>
      </c>
      <c r="E59" s="69">
        <f t="shared" si="2"/>
        <v>74.74354125342784</v>
      </c>
    </row>
  </sheetData>
  <sheetProtection/>
  <mergeCells count="7">
    <mergeCell ref="D7:E7"/>
    <mergeCell ref="C3:E3"/>
    <mergeCell ref="A6:E6"/>
    <mergeCell ref="C1:E1"/>
    <mergeCell ref="C2:E2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29"/>
  <sheetViews>
    <sheetView showGridLines="0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T17" sqref="T17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30" customWidth="1"/>
    <col min="5" max="5" width="5.421875" style="33" customWidth="1"/>
    <col min="6" max="6" width="6.00390625" style="11" customWidth="1"/>
    <col min="7" max="7" width="14.57421875" style="15" customWidth="1"/>
    <col min="8" max="8" width="15.00390625" style="15" customWidth="1"/>
    <col min="9" max="9" width="15.7109375" style="2" customWidth="1"/>
    <col min="10" max="16384" width="9.140625" style="2" customWidth="1"/>
  </cols>
  <sheetData>
    <row r="1" spans="1:9" ht="18.75" customHeight="1">
      <c r="A1" s="109" t="s">
        <v>338</v>
      </c>
      <c r="B1" s="109"/>
      <c r="C1" s="109"/>
      <c r="D1" s="109"/>
      <c r="E1" s="109"/>
      <c r="F1" s="109"/>
      <c r="G1" s="109"/>
      <c r="H1" s="109"/>
      <c r="I1" s="109"/>
    </row>
    <row r="2" spans="1:9" ht="18.75" customHeight="1">
      <c r="A2" s="109" t="s">
        <v>333</v>
      </c>
      <c r="B2" s="109"/>
      <c r="C2" s="109"/>
      <c r="D2" s="109"/>
      <c r="E2" s="109"/>
      <c r="F2" s="109"/>
      <c r="G2" s="109"/>
      <c r="H2" s="109"/>
      <c r="I2" s="109"/>
    </row>
    <row r="3" spans="1:9" ht="18.75" customHeight="1">
      <c r="A3" s="109" t="s">
        <v>334</v>
      </c>
      <c r="B3" s="109"/>
      <c r="C3" s="109"/>
      <c r="D3" s="109"/>
      <c r="E3" s="109"/>
      <c r="F3" s="109"/>
      <c r="G3" s="109"/>
      <c r="H3" s="109"/>
      <c r="I3" s="109"/>
    </row>
    <row r="4" spans="1:9" ht="18.75" customHeight="1">
      <c r="A4" s="109" t="s">
        <v>335</v>
      </c>
      <c r="B4" s="109"/>
      <c r="C4" s="109"/>
      <c r="D4" s="109"/>
      <c r="E4" s="109"/>
      <c r="F4" s="109"/>
      <c r="G4" s="109"/>
      <c r="H4" s="109"/>
      <c r="I4" s="109"/>
    </row>
    <row r="5" spans="1:9" ht="18.75" customHeight="1">
      <c r="A5" s="110" t="s">
        <v>336</v>
      </c>
      <c r="B5" s="110"/>
      <c r="C5" s="110"/>
      <c r="D5" s="110"/>
      <c r="E5" s="110"/>
      <c r="F5" s="110"/>
      <c r="G5" s="110"/>
      <c r="H5" s="110"/>
      <c r="I5" s="110"/>
    </row>
    <row r="6" spans="1:9" ht="18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spans="1:9" ht="33.75" customHeight="1">
      <c r="A7" s="112" t="s">
        <v>327</v>
      </c>
      <c r="B7" s="112"/>
      <c r="C7" s="112"/>
      <c r="D7" s="112"/>
      <c r="E7" s="112"/>
      <c r="F7" s="112"/>
      <c r="G7" s="112"/>
      <c r="H7" s="112"/>
      <c r="I7" s="112"/>
    </row>
    <row r="8" spans="1:8" ht="12.75">
      <c r="A8" s="6"/>
      <c r="B8" s="3"/>
      <c r="C8" s="3"/>
      <c r="D8" s="31"/>
      <c r="E8" s="32"/>
      <c r="F8" s="9"/>
      <c r="G8" s="14"/>
      <c r="H8" s="14"/>
    </row>
    <row r="9" spans="1:9" ht="12.75">
      <c r="A9" s="6"/>
      <c r="B9" s="3"/>
      <c r="C9" s="3"/>
      <c r="D9" s="31"/>
      <c r="E9" s="32"/>
      <c r="F9" s="9"/>
      <c r="G9" s="14"/>
      <c r="H9" s="108" t="s">
        <v>182</v>
      </c>
      <c r="I9" s="108"/>
    </row>
    <row r="10" spans="1:9" ht="91.5" customHeight="1">
      <c r="A10" s="29" t="s">
        <v>1</v>
      </c>
      <c r="B10" s="53" t="s">
        <v>218</v>
      </c>
      <c r="C10" s="79" t="s">
        <v>219</v>
      </c>
      <c r="D10" s="53" t="s">
        <v>187</v>
      </c>
      <c r="E10" s="54" t="s">
        <v>9</v>
      </c>
      <c r="F10" s="80" t="s">
        <v>188</v>
      </c>
      <c r="G10" s="95" t="s">
        <v>289</v>
      </c>
      <c r="H10" s="95" t="s">
        <v>329</v>
      </c>
      <c r="I10" s="95" t="s">
        <v>328</v>
      </c>
    </row>
    <row r="11" spans="1:9" ht="15.75" outlineLevel="1">
      <c r="A11" s="78" t="s">
        <v>32</v>
      </c>
      <c r="B11" s="18" t="s">
        <v>33</v>
      </c>
      <c r="C11" s="18"/>
      <c r="D11" s="18"/>
      <c r="E11" s="38" t="s">
        <v>0</v>
      </c>
      <c r="F11" s="96"/>
      <c r="G11" s="94">
        <f>SUM(G12)</f>
        <v>390</v>
      </c>
      <c r="H11" s="94">
        <f>SUM(H12)</f>
        <v>326.88075</v>
      </c>
      <c r="I11" s="94">
        <f aca="true" t="shared" si="0" ref="I11:I74">SUM(H11/G11)*100</f>
        <v>83.81557692307692</v>
      </c>
    </row>
    <row r="12" spans="1:9" ht="15.75" outlineLevel="1">
      <c r="A12" s="78" t="s">
        <v>115</v>
      </c>
      <c r="B12" s="18" t="s">
        <v>33</v>
      </c>
      <c r="C12" s="18" t="s">
        <v>48</v>
      </c>
      <c r="D12" s="18"/>
      <c r="E12" s="38"/>
      <c r="F12" s="29"/>
      <c r="G12" s="94">
        <f>SUM(G13)</f>
        <v>390</v>
      </c>
      <c r="H12" s="94">
        <f>SUM(H13)</f>
        <v>326.88075</v>
      </c>
      <c r="I12" s="94">
        <f t="shared" si="0"/>
        <v>83.81557692307692</v>
      </c>
    </row>
    <row r="13" spans="1:9" ht="50.25" customHeight="1" outlineLevel="2">
      <c r="A13" s="78" t="s">
        <v>31</v>
      </c>
      <c r="B13" s="18" t="s">
        <v>33</v>
      </c>
      <c r="C13" s="18" t="s">
        <v>34</v>
      </c>
      <c r="D13" s="18"/>
      <c r="E13" s="38"/>
      <c r="F13" s="96"/>
      <c r="G13" s="94">
        <f>SUM(G14+G18)</f>
        <v>390</v>
      </c>
      <c r="H13" s="94">
        <f>SUM(H14+H18)</f>
        <v>326.88075</v>
      </c>
      <c r="I13" s="94">
        <f t="shared" si="0"/>
        <v>83.81557692307692</v>
      </c>
    </row>
    <row r="14" spans="1:9" ht="45" customHeight="1" outlineLevel="2">
      <c r="A14" s="78" t="s">
        <v>118</v>
      </c>
      <c r="B14" s="18" t="s">
        <v>33</v>
      </c>
      <c r="C14" s="18" t="s">
        <v>34</v>
      </c>
      <c r="D14" s="18" t="s">
        <v>12</v>
      </c>
      <c r="E14" s="38" t="s">
        <v>10</v>
      </c>
      <c r="F14" s="96"/>
      <c r="G14" s="94">
        <f>SUM(G15:G17)</f>
        <v>389.9</v>
      </c>
      <c r="H14" s="94">
        <f>SUM(H15:H17)</f>
        <v>326.88075</v>
      </c>
      <c r="I14" s="94">
        <f t="shared" si="0"/>
        <v>83.8370736086176</v>
      </c>
    </row>
    <row r="15" spans="1:9" ht="76.5" customHeight="1" outlineLevel="2">
      <c r="A15" s="78" t="s">
        <v>116</v>
      </c>
      <c r="B15" s="18" t="s">
        <v>33</v>
      </c>
      <c r="C15" s="18" t="s">
        <v>34</v>
      </c>
      <c r="D15" s="18" t="s">
        <v>12</v>
      </c>
      <c r="E15" s="38" t="s">
        <v>10</v>
      </c>
      <c r="F15" s="29">
        <v>100</v>
      </c>
      <c r="G15" s="94">
        <f>332.4-4.39844-0.35</f>
        <v>327.65155999999996</v>
      </c>
      <c r="H15" s="94">
        <v>291.93179</v>
      </c>
      <c r="I15" s="94">
        <f t="shared" si="0"/>
        <v>89.0982450991535</v>
      </c>
    </row>
    <row r="16" spans="1:9" s="4" customFormat="1" ht="31.5" outlineLevel="3">
      <c r="A16" s="78" t="s">
        <v>117</v>
      </c>
      <c r="B16" s="18" t="s">
        <v>33</v>
      </c>
      <c r="C16" s="18" t="s">
        <v>34</v>
      </c>
      <c r="D16" s="18" t="s">
        <v>12</v>
      </c>
      <c r="E16" s="38">
        <v>0</v>
      </c>
      <c r="F16" s="29">
        <v>200</v>
      </c>
      <c r="G16" s="94">
        <f>47.5+4.39844+0.35</f>
        <v>52.24844</v>
      </c>
      <c r="H16" s="94">
        <v>34.94896</v>
      </c>
      <c r="I16" s="94">
        <f t="shared" si="0"/>
        <v>66.88995881982314</v>
      </c>
    </row>
    <row r="17" spans="1:9" s="4" customFormat="1" ht="62.25" customHeight="1" outlineLevel="3">
      <c r="A17" s="78" t="s">
        <v>320</v>
      </c>
      <c r="B17" s="18" t="s">
        <v>33</v>
      </c>
      <c r="C17" s="18" t="s">
        <v>34</v>
      </c>
      <c r="D17" s="18" t="s">
        <v>12</v>
      </c>
      <c r="E17" s="38">
        <v>0</v>
      </c>
      <c r="F17" s="29">
        <v>200</v>
      </c>
      <c r="G17" s="94">
        <v>10</v>
      </c>
      <c r="H17" s="94">
        <v>0</v>
      </c>
      <c r="I17" s="94">
        <f t="shared" si="0"/>
        <v>0</v>
      </c>
    </row>
    <row r="18" spans="1:9" s="4" customFormat="1" ht="35.25" customHeight="1" outlineLevel="3">
      <c r="A18" s="78" t="s">
        <v>189</v>
      </c>
      <c r="B18" s="18" t="s">
        <v>33</v>
      </c>
      <c r="C18" s="18" t="s">
        <v>34</v>
      </c>
      <c r="D18" s="18" t="s">
        <v>17</v>
      </c>
      <c r="E18" s="38">
        <v>0</v>
      </c>
      <c r="F18" s="29"/>
      <c r="G18" s="97">
        <f>SUM(G19)</f>
        <v>0.1</v>
      </c>
      <c r="H18" s="97">
        <f>SUM(H19)</f>
        <v>0</v>
      </c>
      <c r="I18" s="94">
        <f t="shared" si="0"/>
        <v>0</v>
      </c>
    </row>
    <row r="19" spans="1:9" s="4" customFormat="1" ht="15.75" outlineLevel="3">
      <c r="A19" s="78" t="s">
        <v>170</v>
      </c>
      <c r="B19" s="18" t="s">
        <v>33</v>
      </c>
      <c r="C19" s="18" t="s">
        <v>34</v>
      </c>
      <c r="D19" s="18" t="s">
        <v>17</v>
      </c>
      <c r="E19" s="38">
        <v>0</v>
      </c>
      <c r="F19" s="29">
        <v>800</v>
      </c>
      <c r="G19" s="94">
        <f>0.05+0.05</f>
        <v>0.1</v>
      </c>
      <c r="H19" s="94">
        <v>0</v>
      </c>
      <c r="I19" s="94">
        <f t="shared" si="0"/>
        <v>0</v>
      </c>
    </row>
    <row r="20" spans="1:9" s="4" customFormat="1" ht="31.5" outlineLevel="3">
      <c r="A20" s="78" t="s">
        <v>36</v>
      </c>
      <c r="B20" s="18" t="s">
        <v>37</v>
      </c>
      <c r="C20" s="18"/>
      <c r="D20" s="18"/>
      <c r="E20" s="38"/>
      <c r="F20" s="96"/>
      <c r="G20" s="94">
        <f>SUM(G21)</f>
        <v>1486</v>
      </c>
      <c r="H20" s="94">
        <f>SUM(H21)</f>
        <v>933.50684</v>
      </c>
      <c r="I20" s="94">
        <f t="shared" si="0"/>
        <v>62.820110363391656</v>
      </c>
    </row>
    <row r="21" spans="1:9" s="4" customFormat="1" ht="15.75" outlineLevel="3">
      <c r="A21" s="78" t="s">
        <v>115</v>
      </c>
      <c r="B21" s="18" t="s">
        <v>37</v>
      </c>
      <c r="C21" s="18" t="s">
        <v>48</v>
      </c>
      <c r="D21" s="98"/>
      <c r="E21" s="99"/>
      <c r="F21" s="100"/>
      <c r="G21" s="94">
        <f>SUM(G22)</f>
        <v>1486</v>
      </c>
      <c r="H21" s="94">
        <f>SUM(H22)</f>
        <v>933.50684</v>
      </c>
      <c r="I21" s="94">
        <f t="shared" si="0"/>
        <v>62.820110363391656</v>
      </c>
    </row>
    <row r="22" spans="1:9" s="4" customFormat="1" ht="50.25" customHeight="1" outlineLevel="3">
      <c r="A22" s="78" t="s">
        <v>39</v>
      </c>
      <c r="B22" s="18" t="s">
        <v>37</v>
      </c>
      <c r="C22" s="18" t="s">
        <v>38</v>
      </c>
      <c r="D22" s="18"/>
      <c r="E22" s="38"/>
      <c r="F22" s="96"/>
      <c r="G22" s="94">
        <f>SUM(G23+G26)</f>
        <v>1486</v>
      </c>
      <c r="H22" s="94">
        <f>SUM(H23+H26)</f>
        <v>933.50684</v>
      </c>
      <c r="I22" s="94">
        <f t="shared" si="0"/>
        <v>62.820110363391656</v>
      </c>
    </row>
    <row r="23" spans="1:9" s="4" customFormat="1" ht="51" customHeight="1" outlineLevel="3">
      <c r="A23" s="78" t="s">
        <v>118</v>
      </c>
      <c r="B23" s="18" t="s">
        <v>37</v>
      </c>
      <c r="C23" s="18" t="s">
        <v>38</v>
      </c>
      <c r="D23" s="18" t="s">
        <v>12</v>
      </c>
      <c r="E23" s="38" t="s">
        <v>10</v>
      </c>
      <c r="F23" s="96"/>
      <c r="G23" s="94">
        <f>SUM(G24:G25)</f>
        <v>1485.5</v>
      </c>
      <c r="H23" s="94">
        <f>SUM(H24:H25)</f>
        <v>933.50684</v>
      </c>
      <c r="I23" s="94">
        <f t="shared" si="0"/>
        <v>62.841254796364865</v>
      </c>
    </row>
    <row r="24" spans="1:9" s="4" customFormat="1" ht="78" customHeight="1" outlineLevel="3">
      <c r="A24" s="78" t="s">
        <v>116</v>
      </c>
      <c r="B24" s="18" t="s">
        <v>37</v>
      </c>
      <c r="C24" s="18" t="s">
        <v>38</v>
      </c>
      <c r="D24" s="18" t="s">
        <v>12</v>
      </c>
      <c r="E24" s="38" t="s">
        <v>10</v>
      </c>
      <c r="F24" s="29">
        <v>100</v>
      </c>
      <c r="G24" s="94">
        <v>1460.8</v>
      </c>
      <c r="H24" s="94">
        <v>933.50684</v>
      </c>
      <c r="I24" s="94">
        <f t="shared" si="0"/>
        <v>63.90380887185104</v>
      </c>
    </row>
    <row r="25" spans="1:9" s="4" customFormat="1" ht="31.5" outlineLevel="3">
      <c r="A25" s="78" t="s">
        <v>117</v>
      </c>
      <c r="B25" s="18" t="s">
        <v>37</v>
      </c>
      <c r="C25" s="18" t="s">
        <v>38</v>
      </c>
      <c r="D25" s="18" t="s">
        <v>12</v>
      </c>
      <c r="E25" s="38">
        <v>0</v>
      </c>
      <c r="F25" s="29">
        <v>200</v>
      </c>
      <c r="G25" s="94">
        <v>24.7</v>
      </c>
      <c r="H25" s="94">
        <v>0</v>
      </c>
      <c r="I25" s="94">
        <f t="shared" si="0"/>
        <v>0</v>
      </c>
    </row>
    <row r="26" spans="1:9" s="4" customFormat="1" ht="36.75" customHeight="1" outlineLevel="3">
      <c r="A26" s="78" t="s">
        <v>189</v>
      </c>
      <c r="B26" s="18" t="s">
        <v>37</v>
      </c>
      <c r="C26" s="18" t="s">
        <v>38</v>
      </c>
      <c r="D26" s="18" t="s">
        <v>17</v>
      </c>
      <c r="E26" s="38">
        <v>0</v>
      </c>
      <c r="F26" s="29"/>
      <c r="G26" s="97">
        <f>SUM(G27)</f>
        <v>0.5</v>
      </c>
      <c r="H26" s="97">
        <f>SUM(H27)</f>
        <v>0</v>
      </c>
      <c r="I26" s="94">
        <f t="shared" si="0"/>
        <v>0</v>
      </c>
    </row>
    <row r="27" spans="1:9" s="4" customFormat="1" ht="15.75" outlineLevel="3">
      <c r="A27" s="78" t="s">
        <v>170</v>
      </c>
      <c r="B27" s="18" t="s">
        <v>37</v>
      </c>
      <c r="C27" s="18" t="s">
        <v>38</v>
      </c>
      <c r="D27" s="18" t="s">
        <v>17</v>
      </c>
      <c r="E27" s="38">
        <v>0</v>
      </c>
      <c r="F27" s="29">
        <v>800</v>
      </c>
      <c r="G27" s="94">
        <f>0.5</f>
        <v>0.5</v>
      </c>
      <c r="H27" s="94">
        <v>0</v>
      </c>
      <c r="I27" s="94">
        <f t="shared" si="0"/>
        <v>0</v>
      </c>
    </row>
    <row r="28" spans="1:9" s="4" customFormat="1" ht="23.25" customHeight="1" outlineLevel="3">
      <c r="A28" s="78" t="s">
        <v>119</v>
      </c>
      <c r="B28" s="18" t="s">
        <v>46</v>
      </c>
      <c r="C28" s="18"/>
      <c r="D28" s="18"/>
      <c r="E28" s="38"/>
      <c r="F28" s="96"/>
      <c r="G28" s="94">
        <f>SUM(G29+G92+G97+G104+G124+G145+G148+G246+G281+G304+G315+G321+G325+G276)</f>
        <v>325893.89719999995</v>
      </c>
      <c r="H28" s="94">
        <f>SUM(H29+H92+H97+H104+H124+H145+H148+H246+H281+H304+H315+H321+H325+H276)</f>
        <v>243726.44074000002</v>
      </c>
      <c r="I28" s="94">
        <f t="shared" si="0"/>
        <v>74.78705272913594</v>
      </c>
    </row>
    <row r="29" spans="1:9" s="4" customFormat="1" ht="15.75" outlineLevel="3">
      <c r="A29" s="78" t="s">
        <v>115</v>
      </c>
      <c r="B29" s="18" t="s">
        <v>46</v>
      </c>
      <c r="C29" s="18" t="s">
        <v>48</v>
      </c>
      <c r="D29" s="18"/>
      <c r="E29" s="38"/>
      <c r="F29" s="29"/>
      <c r="G29" s="94">
        <f>SUM(G30+G33+G56+G60+G63+G52)</f>
        <v>63347.31</v>
      </c>
      <c r="H29" s="94">
        <f>SUM(H30+H33+H56+H60+H63+H52)</f>
        <v>49672.4404</v>
      </c>
      <c r="I29" s="94">
        <f t="shared" si="0"/>
        <v>78.4128645715185</v>
      </c>
    </row>
    <row r="30" spans="1:9" s="4" customFormat="1" ht="47.25" outlineLevel="3">
      <c r="A30" s="78" t="s">
        <v>40</v>
      </c>
      <c r="B30" s="18" t="s">
        <v>46</v>
      </c>
      <c r="C30" s="18" t="s">
        <v>49</v>
      </c>
      <c r="D30" s="18"/>
      <c r="E30" s="38"/>
      <c r="F30" s="96"/>
      <c r="G30" s="94">
        <f>SUM(G32)</f>
        <v>1367.1</v>
      </c>
      <c r="H30" s="94">
        <f>SUM(H32)</f>
        <v>1167.44662</v>
      </c>
      <c r="I30" s="94">
        <f t="shared" si="0"/>
        <v>85.39584668275913</v>
      </c>
    </row>
    <row r="31" spans="1:9" s="4" customFormat="1" ht="53.25" customHeight="1" outlineLevel="3">
      <c r="A31" s="78" t="s">
        <v>118</v>
      </c>
      <c r="B31" s="18" t="s">
        <v>46</v>
      </c>
      <c r="C31" s="18" t="s">
        <v>49</v>
      </c>
      <c r="D31" s="18" t="s">
        <v>12</v>
      </c>
      <c r="E31" s="38" t="s">
        <v>10</v>
      </c>
      <c r="F31" s="29"/>
      <c r="G31" s="94">
        <f>SUM(G32)</f>
        <v>1367.1</v>
      </c>
      <c r="H31" s="94">
        <f>SUM(H32)</f>
        <v>1167.44662</v>
      </c>
      <c r="I31" s="94">
        <f t="shared" si="0"/>
        <v>85.39584668275913</v>
      </c>
    </row>
    <row r="32" spans="1:9" ht="76.5" customHeight="1" outlineLevel="1">
      <c r="A32" s="78" t="s">
        <v>116</v>
      </c>
      <c r="B32" s="18" t="s">
        <v>46</v>
      </c>
      <c r="C32" s="18" t="s">
        <v>49</v>
      </c>
      <c r="D32" s="18" t="s">
        <v>12</v>
      </c>
      <c r="E32" s="38">
        <v>0</v>
      </c>
      <c r="F32" s="29">
        <v>100</v>
      </c>
      <c r="G32" s="94">
        <v>1367.1</v>
      </c>
      <c r="H32" s="94">
        <v>1167.44662</v>
      </c>
      <c r="I32" s="94">
        <f t="shared" si="0"/>
        <v>85.39584668275913</v>
      </c>
    </row>
    <row r="33" spans="1:9" ht="60.75" customHeight="1" outlineLevel="2">
      <c r="A33" s="83" t="s">
        <v>41</v>
      </c>
      <c r="B33" s="18" t="s">
        <v>46</v>
      </c>
      <c r="C33" s="18" t="s">
        <v>47</v>
      </c>
      <c r="D33" s="18"/>
      <c r="E33" s="38"/>
      <c r="F33" s="29"/>
      <c r="G33" s="94">
        <f>SUM(G34+G50)</f>
        <v>28275</v>
      </c>
      <c r="H33" s="94">
        <f>SUM(H34+H50)</f>
        <v>21069.44961</v>
      </c>
      <c r="I33" s="94">
        <f t="shared" si="0"/>
        <v>74.51617899204244</v>
      </c>
    </row>
    <row r="34" spans="1:9" s="4" customFormat="1" ht="54.75" customHeight="1" outlineLevel="3">
      <c r="A34" s="78" t="s">
        <v>118</v>
      </c>
      <c r="B34" s="18" t="s">
        <v>46</v>
      </c>
      <c r="C34" s="18" t="s">
        <v>47</v>
      </c>
      <c r="D34" s="18" t="s">
        <v>12</v>
      </c>
      <c r="E34" s="38">
        <v>0</v>
      </c>
      <c r="F34" s="29"/>
      <c r="G34" s="94">
        <f>SUM(G35+G38)</f>
        <v>28175</v>
      </c>
      <c r="H34" s="94">
        <f>SUM(H35+H38)</f>
        <v>21012.19961</v>
      </c>
      <c r="I34" s="94">
        <f t="shared" si="0"/>
        <v>74.57746090505766</v>
      </c>
    </row>
    <row r="35" spans="1:9" ht="15.75" outlineLevel="1">
      <c r="A35" s="83" t="s">
        <v>3</v>
      </c>
      <c r="B35" s="18" t="s">
        <v>46</v>
      </c>
      <c r="C35" s="18" t="s">
        <v>47</v>
      </c>
      <c r="D35" s="18" t="s">
        <v>12</v>
      </c>
      <c r="E35" s="38">
        <v>0</v>
      </c>
      <c r="F35" s="29"/>
      <c r="G35" s="94">
        <f>SUM(G36:G37)</f>
        <v>26868.9</v>
      </c>
      <c r="H35" s="94">
        <f>SUM(H36:H37)</f>
        <v>20026.64977</v>
      </c>
      <c r="I35" s="94">
        <f t="shared" si="0"/>
        <v>74.53468422600106</v>
      </c>
    </row>
    <row r="36" spans="1:9" ht="80.25" customHeight="1" outlineLevel="2">
      <c r="A36" s="83" t="s">
        <v>116</v>
      </c>
      <c r="B36" s="18" t="s">
        <v>46</v>
      </c>
      <c r="C36" s="18" t="s">
        <v>47</v>
      </c>
      <c r="D36" s="18" t="s">
        <v>12</v>
      </c>
      <c r="E36" s="38">
        <v>0</v>
      </c>
      <c r="F36" s="29">
        <v>100</v>
      </c>
      <c r="G36" s="94">
        <f>24910+418</f>
        <v>25328</v>
      </c>
      <c r="H36" s="94">
        <v>19524.78861</v>
      </c>
      <c r="I36" s="94">
        <f t="shared" si="0"/>
        <v>77.08776298957675</v>
      </c>
    </row>
    <row r="37" spans="1:9" ht="31.5">
      <c r="A37" s="83" t="s">
        <v>117</v>
      </c>
      <c r="B37" s="18" t="s">
        <v>46</v>
      </c>
      <c r="C37" s="18" t="s">
        <v>47</v>
      </c>
      <c r="D37" s="18" t="s">
        <v>12</v>
      </c>
      <c r="E37" s="38">
        <v>0</v>
      </c>
      <c r="F37" s="29">
        <v>200</v>
      </c>
      <c r="G37" s="94">
        <v>1540.9</v>
      </c>
      <c r="H37" s="94">
        <v>501.86116</v>
      </c>
      <c r="I37" s="94">
        <f t="shared" si="0"/>
        <v>32.569352975533775</v>
      </c>
    </row>
    <row r="38" spans="1:9" ht="50.25" customHeight="1" outlineLevel="2">
      <c r="A38" s="78" t="s">
        <v>118</v>
      </c>
      <c r="B38" s="18" t="s">
        <v>46</v>
      </c>
      <c r="C38" s="18" t="s">
        <v>47</v>
      </c>
      <c r="D38" s="18" t="s">
        <v>12</v>
      </c>
      <c r="E38" s="38" t="s">
        <v>10</v>
      </c>
      <c r="F38" s="96"/>
      <c r="G38" s="101">
        <f>SUM(G39+G42+G45+G48)</f>
        <v>1306.1</v>
      </c>
      <c r="H38" s="101">
        <f>SUM(H39+H42+H45+H48)</f>
        <v>985.5498400000001</v>
      </c>
      <c r="I38" s="94">
        <f t="shared" si="0"/>
        <v>75.45745655003448</v>
      </c>
    </row>
    <row r="39" spans="1:9" ht="48.75" customHeight="1" outlineLevel="1">
      <c r="A39" s="78" t="s">
        <v>121</v>
      </c>
      <c r="B39" s="18" t="s">
        <v>46</v>
      </c>
      <c r="C39" s="18" t="s">
        <v>47</v>
      </c>
      <c r="D39" s="18" t="s">
        <v>12</v>
      </c>
      <c r="E39" s="38" t="s">
        <v>10</v>
      </c>
      <c r="F39" s="96"/>
      <c r="G39" s="94">
        <f>SUM(G40:G41)</f>
        <v>223.4</v>
      </c>
      <c r="H39" s="94">
        <f>SUM(H40:H41)</f>
        <v>206.79152</v>
      </c>
      <c r="I39" s="94">
        <f t="shared" si="0"/>
        <v>92.56558639212174</v>
      </c>
    </row>
    <row r="40" spans="1:9" ht="81.75" customHeight="1" outlineLevel="5">
      <c r="A40" s="78" t="s">
        <v>116</v>
      </c>
      <c r="B40" s="18" t="s">
        <v>46</v>
      </c>
      <c r="C40" s="18" t="s">
        <v>47</v>
      </c>
      <c r="D40" s="18" t="s">
        <v>12</v>
      </c>
      <c r="E40" s="38" t="s">
        <v>10</v>
      </c>
      <c r="F40" s="29">
        <v>100</v>
      </c>
      <c r="G40" s="101">
        <v>216.3</v>
      </c>
      <c r="H40" s="101">
        <v>206.79152</v>
      </c>
      <c r="I40" s="94">
        <f t="shared" si="0"/>
        <v>95.60403143781784</v>
      </c>
    </row>
    <row r="41" spans="1:9" ht="31.5" outlineLevel="5">
      <c r="A41" s="78" t="s">
        <v>117</v>
      </c>
      <c r="B41" s="18" t="s">
        <v>46</v>
      </c>
      <c r="C41" s="18" t="s">
        <v>47</v>
      </c>
      <c r="D41" s="18" t="s">
        <v>12</v>
      </c>
      <c r="E41" s="38" t="s">
        <v>10</v>
      </c>
      <c r="F41" s="29">
        <v>200</v>
      </c>
      <c r="G41" s="101">
        <f>81.8-74.7</f>
        <v>7.099999999999994</v>
      </c>
      <c r="H41" s="101">
        <f>81.8-81.8</f>
        <v>0</v>
      </c>
      <c r="I41" s="94">
        <f t="shared" si="0"/>
        <v>0</v>
      </c>
    </row>
    <row r="42" spans="1:9" ht="33" customHeight="1" outlineLevel="5">
      <c r="A42" s="78" t="s">
        <v>122</v>
      </c>
      <c r="B42" s="18" t="s">
        <v>46</v>
      </c>
      <c r="C42" s="18" t="s">
        <v>47</v>
      </c>
      <c r="D42" s="18" t="s">
        <v>12</v>
      </c>
      <c r="E42" s="38" t="s">
        <v>10</v>
      </c>
      <c r="F42" s="96"/>
      <c r="G42" s="94">
        <f>SUM(G43:G44)</f>
        <v>447.2</v>
      </c>
      <c r="H42" s="94">
        <f>SUM(H43:H44)</f>
        <v>430.97511000000003</v>
      </c>
      <c r="I42" s="94">
        <f t="shared" si="0"/>
        <v>96.37189400715565</v>
      </c>
    </row>
    <row r="43" spans="1:9" ht="76.5" customHeight="1" outlineLevel="2">
      <c r="A43" s="78" t="s">
        <v>116</v>
      </c>
      <c r="B43" s="18" t="s">
        <v>46</v>
      </c>
      <c r="C43" s="18" t="s">
        <v>47</v>
      </c>
      <c r="D43" s="18" t="s">
        <v>12</v>
      </c>
      <c r="E43" s="38" t="s">
        <v>10</v>
      </c>
      <c r="F43" s="29">
        <v>100</v>
      </c>
      <c r="G43" s="94">
        <f>581.2-2.6-184.1+17</f>
        <v>411.5</v>
      </c>
      <c r="H43" s="94">
        <v>406.56441</v>
      </c>
      <c r="I43" s="94">
        <f t="shared" si="0"/>
        <v>98.80058566221143</v>
      </c>
    </row>
    <row r="44" spans="1:9" ht="31.5" outlineLevel="4">
      <c r="A44" s="78" t="s">
        <v>117</v>
      </c>
      <c r="B44" s="18" t="s">
        <v>46</v>
      </c>
      <c r="C44" s="18" t="s">
        <v>47</v>
      </c>
      <c r="D44" s="18" t="s">
        <v>12</v>
      </c>
      <c r="E44" s="38" t="s">
        <v>10</v>
      </c>
      <c r="F44" s="29">
        <v>200</v>
      </c>
      <c r="G44" s="94">
        <f>102.7-50-17</f>
        <v>35.7</v>
      </c>
      <c r="H44" s="94">
        <v>24.4107</v>
      </c>
      <c r="I44" s="94">
        <f t="shared" si="0"/>
        <v>68.37731092436974</v>
      </c>
    </row>
    <row r="45" spans="1:9" s="17" customFormat="1" ht="48.75" customHeight="1" outlineLevel="5">
      <c r="A45" s="78" t="s">
        <v>120</v>
      </c>
      <c r="B45" s="18" t="s">
        <v>46</v>
      </c>
      <c r="C45" s="18" t="s">
        <v>47</v>
      </c>
      <c r="D45" s="18" t="s">
        <v>12</v>
      </c>
      <c r="E45" s="38" t="s">
        <v>10</v>
      </c>
      <c r="F45" s="96"/>
      <c r="G45" s="94">
        <f>SUM(G46:G47)</f>
        <v>316</v>
      </c>
      <c r="H45" s="94">
        <f>SUM(H46:H47)</f>
        <v>221.97935</v>
      </c>
      <c r="I45" s="94">
        <f t="shared" si="0"/>
        <v>70.24662974683544</v>
      </c>
    </row>
    <row r="46" spans="1:9" ht="78.75" customHeight="1" outlineLevel="5">
      <c r="A46" s="78" t="s">
        <v>116</v>
      </c>
      <c r="B46" s="18" t="s">
        <v>46</v>
      </c>
      <c r="C46" s="18" t="s">
        <v>47</v>
      </c>
      <c r="D46" s="18" t="s">
        <v>12</v>
      </c>
      <c r="E46" s="38" t="s">
        <v>10</v>
      </c>
      <c r="F46" s="29">
        <v>100</v>
      </c>
      <c r="G46" s="101">
        <f>297-7.9</f>
        <v>289.1</v>
      </c>
      <c r="H46" s="101">
        <v>203.07855</v>
      </c>
      <c r="I46" s="94">
        <f t="shared" si="0"/>
        <v>70.24508820477344</v>
      </c>
    </row>
    <row r="47" spans="1:9" ht="31.5" outlineLevel="4">
      <c r="A47" s="78" t="s">
        <v>117</v>
      </c>
      <c r="B47" s="18" t="s">
        <v>46</v>
      </c>
      <c r="C47" s="18" t="s">
        <v>47</v>
      </c>
      <c r="D47" s="18" t="s">
        <v>12</v>
      </c>
      <c r="E47" s="38" t="s">
        <v>10</v>
      </c>
      <c r="F47" s="29">
        <v>200</v>
      </c>
      <c r="G47" s="101">
        <v>26.9</v>
      </c>
      <c r="H47" s="101">
        <v>18.9008</v>
      </c>
      <c r="I47" s="94">
        <f t="shared" si="0"/>
        <v>70.26319702602231</v>
      </c>
    </row>
    <row r="48" spans="1:9" ht="64.5" customHeight="1" outlineLevel="5">
      <c r="A48" s="78" t="s">
        <v>123</v>
      </c>
      <c r="B48" s="18" t="s">
        <v>46</v>
      </c>
      <c r="C48" s="18" t="s">
        <v>47</v>
      </c>
      <c r="D48" s="18" t="s">
        <v>12</v>
      </c>
      <c r="E48" s="38" t="s">
        <v>10</v>
      </c>
      <c r="F48" s="96"/>
      <c r="G48" s="94">
        <f>SUM(G49:G49)</f>
        <v>319.5</v>
      </c>
      <c r="H48" s="94">
        <f>SUM(H49:H49)</f>
        <v>125.80386</v>
      </c>
      <c r="I48" s="94">
        <f t="shared" si="0"/>
        <v>39.37523004694835</v>
      </c>
    </row>
    <row r="49" spans="1:9" ht="31.5" outlineLevel="5">
      <c r="A49" s="78" t="s">
        <v>117</v>
      </c>
      <c r="B49" s="18" t="s">
        <v>46</v>
      </c>
      <c r="C49" s="18" t="s">
        <v>47</v>
      </c>
      <c r="D49" s="18" t="s">
        <v>12</v>
      </c>
      <c r="E49" s="38" t="s">
        <v>10</v>
      </c>
      <c r="F49" s="29">
        <v>200</v>
      </c>
      <c r="G49" s="94">
        <f>87+114.2+118.3</f>
        <v>319.5</v>
      </c>
      <c r="H49" s="94">
        <v>125.80386</v>
      </c>
      <c r="I49" s="94">
        <f t="shared" si="0"/>
        <v>39.37523004694835</v>
      </c>
    </row>
    <row r="50" spans="1:9" ht="63" outlineLevel="2">
      <c r="A50" s="78" t="s">
        <v>259</v>
      </c>
      <c r="B50" s="18" t="s">
        <v>46</v>
      </c>
      <c r="C50" s="18" t="s">
        <v>47</v>
      </c>
      <c r="D50" s="18" t="s">
        <v>2</v>
      </c>
      <c r="E50" s="38">
        <v>0</v>
      </c>
      <c r="F50" s="29"/>
      <c r="G50" s="94">
        <f>SUM(G51)</f>
        <v>100</v>
      </c>
      <c r="H50" s="94">
        <f>SUM(H51)</f>
        <v>57.25</v>
      </c>
      <c r="I50" s="94">
        <f t="shared" si="0"/>
        <v>57.25</v>
      </c>
    </row>
    <row r="51" spans="1:9" ht="31.5" outlineLevel="2">
      <c r="A51" s="78" t="s">
        <v>117</v>
      </c>
      <c r="B51" s="18" t="s">
        <v>46</v>
      </c>
      <c r="C51" s="18" t="s">
        <v>47</v>
      </c>
      <c r="D51" s="18" t="s">
        <v>2</v>
      </c>
      <c r="E51" s="38">
        <v>0</v>
      </c>
      <c r="F51" s="29">
        <v>200</v>
      </c>
      <c r="G51" s="94">
        <f>50+50</f>
        <v>100</v>
      </c>
      <c r="H51" s="94">
        <v>57.25</v>
      </c>
      <c r="I51" s="94">
        <f t="shared" si="0"/>
        <v>57.25</v>
      </c>
    </row>
    <row r="52" spans="1:9" ht="15.75" outlineLevel="2">
      <c r="A52" s="78" t="s">
        <v>42</v>
      </c>
      <c r="B52" s="18" t="s">
        <v>46</v>
      </c>
      <c r="C52" s="18" t="s">
        <v>50</v>
      </c>
      <c r="D52" s="18"/>
      <c r="E52" s="38"/>
      <c r="F52" s="29"/>
      <c r="G52" s="94">
        <f aca="true" t="shared" si="1" ref="G52:H54">SUM(G53)</f>
        <v>0</v>
      </c>
      <c r="H52" s="94">
        <f t="shared" si="1"/>
        <v>0</v>
      </c>
      <c r="I52" s="94">
        <v>0</v>
      </c>
    </row>
    <row r="53" spans="1:9" ht="48.75" customHeight="1" outlineLevel="2">
      <c r="A53" s="78" t="s">
        <v>264</v>
      </c>
      <c r="B53" s="18" t="s">
        <v>46</v>
      </c>
      <c r="C53" s="18" t="s">
        <v>50</v>
      </c>
      <c r="D53" s="18" t="s">
        <v>17</v>
      </c>
      <c r="E53" s="38">
        <v>0</v>
      </c>
      <c r="F53" s="29"/>
      <c r="G53" s="94">
        <f t="shared" si="1"/>
        <v>0</v>
      </c>
      <c r="H53" s="94">
        <f t="shared" si="1"/>
        <v>0</v>
      </c>
      <c r="I53" s="94">
        <v>0</v>
      </c>
    </row>
    <row r="54" spans="1:9" ht="33.75" customHeight="1" outlineLevel="2">
      <c r="A54" s="78" t="s">
        <v>189</v>
      </c>
      <c r="B54" s="18" t="s">
        <v>46</v>
      </c>
      <c r="C54" s="18" t="s">
        <v>50</v>
      </c>
      <c r="D54" s="18" t="s">
        <v>17</v>
      </c>
      <c r="E54" s="38">
        <v>0</v>
      </c>
      <c r="F54" s="29"/>
      <c r="G54" s="94">
        <f t="shared" si="1"/>
        <v>0</v>
      </c>
      <c r="H54" s="94">
        <f t="shared" si="1"/>
        <v>0</v>
      </c>
      <c r="I54" s="94">
        <v>0</v>
      </c>
    </row>
    <row r="55" spans="1:9" ht="31.5" outlineLevel="2">
      <c r="A55" s="78" t="s">
        <v>117</v>
      </c>
      <c r="B55" s="18" t="s">
        <v>46</v>
      </c>
      <c r="C55" s="18" t="s">
        <v>50</v>
      </c>
      <c r="D55" s="18" t="s">
        <v>17</v>
      </c>
      <c r="E55" s="38">
        <v>0</v>
      </c>
      <c r="F55" s="29">
        <v>200</v>
      </c>
      <c r="G55" s="94">
        <v>0</v>
      </c>
      <c r="H55" s="94">
        <v>0</v>
      </c>
      <c r="I55" s="94">
        <v>0</v>
      </c>
    </row>
    <row r="56" spans="1:9" ht="17.25" customHeight="1" outlineLevel="2">
      <c r="A56" s="78" t="s">
        <v>43</v>
      </c>
      <c r="B56" s="18" t="s">
        <v>46</v>
      </c>
      <c r="C56" s="18" t="s">
        <v>51</v>
      </c>
      <c r="D56" s="18"/>
      <c r="E56" s="38"/>
      <c r="F56" s="29"/>
      <c r="G56" s="94">
        <f>SUM(G57)</f>
        <v>0</v>
      </c>
      <c r="H56" s="94">
        <f>SUM(H57)</f>
        <v>0</v>
      </c>
      <c r="I56" s="94">
        <v>0</v>
      </c>
    </row>
    <row r="57" spans="1:9" ht="15.75" outlineLevel="5">
      <c r="A57" s="78" t="s">
        <v>44</v>
      </c>
      <c r="B57" s="18" t="s">
        <v>46</v>
      </c>
      <c r="C57" s="18" t="s">
        <v>51</v>
      </c>
      <c r="D57" s="18" t="s">
        <v>17</v>
      </c>
      <c r="E57" s="38" t="s">
        <v>10</v>
      </c>
      <c r="F57" s="29"/>
      <c r="G57" s="94">
        <f>SUM(G58)</f>
        <v>0</v>
      </c>
      <c r="H57" s="94">
        <f>SUM(H58)</f>
        <v>0</v>
      </c>
      <c r="I57" s="94">
        <v>0</v>
      </c>
    </row>
    <row r="58" spans="1:9" ht="39" customHeight="1" outlineLevel="2">
      <c r="A58" s="78" t="s">
        <v>189</v>
      </c>
      <c r="B58" s="18" t="s">
        <v>46</v>
      </c>
      <c r="C58" s="18" t="s">
        <v>51</v>
      </c>
      <c r="D58" s="18" t="s">
        <v>17</v>
      </c>
      <c r="E58" s="38" t="s">
        <v>10</v>
      </c>
      <c r="F58" s="29"/>
      <c r="G58" s="94">
        <f aca="true" t="shared" si="2" ref="G58:H61">SUM(G59)</f>
        <v>0</v>
      </c>
      <c r="H58" s="94">
        <f t="shared" si="2"/>
        <v>0</v>
      </c>
      <c r="I58" s="94">
        <v>0</v>
      </c>
    </row>
    <row r="59" spans="1:9" ht="31.5" outlineLevel="5">
      <c r="A59" s="78" t="s">
        <v>117</v>
      </c>
      <c r="B59" s="18" t="s">
        <v>46</v>
      </c>
      <c r="C59" s="18" t="s">
        <v>51</v>
      </c>
      <c r="D59" s="18" t="s">
        <v>17</v>
      </c>
      <c r="E59" s="38">
        <v>0</v>
      </c>
      <c r="F59" s="29">
        <v>200</v>
      </c>
      <c r="G59" s="94">
        <v>0</v>
      </c>
      <c r="H59" s="94">
        <v>0</v>
      </c>
      <c r="I59" s="94">
        <v>0</v>
      </c>
    </row>
    <row r="60" spans="1:9" ht="15.75" outlineLevel="1">
      <c r="A60" s="78" t="s">
        <v>45</v>
      </c>
      <c r="B60" s="18" t="s">
        <v>46</v>
      </c>
      <c r="C60" s="18" t="s">
        <v>52</v>
      </c>
      <c r="D60" s="18"/>
      <c r="E60" s="38"/>
      <c r="F60" s="29"/>
      <c r="G60" s="94">
        <f t="shared" si="2"/>
        <v>320</v>
      </c>
      <c r="H60" s="94">
        <f t="shared" si="2"/>
        <v>0</v>
      </c>
      <c r="I60" s="94">
        <f t="shared" si="0"/>
        <v>0</v>
      </c>
    </row>
    <row r="61" spans="1:9" ht="38.25" customHeight="1" outlineLevel="2">
      <c r="A61" s="78" t="s">
        <v>189</v>
      </c>
      <c r="B61" s="18" t="s">
        <v>46</v>
      </c>
      <c r="C61" s="18" t="s">
        <v>52</v>
      </c>
      <c r="D61" s="18" t="s">
        <v>17</v>
      </c>
      <c r="E61" s="38" t="s">
        <v>10</v>
      </c>
      <c r="F61" s="29"/>
      <c r="G61" s="94">
        <f t="shared" si="2"/>
        <v>320</v>
      </c>
      <c r="H61" s="94">
        <f t="shared" si="2"/>
        <v>0</v>
      </c>
      <c r="I61" s="94">
        <f t="shared" si="0"/>
        <v>0</v>
      </c>
    </row>
    <row r="62" spans="1:9" ht="15.75" outlineLevel="2">
      <c r="A62" s="78" t="s">
        <v>170</v>
      </c>
      <c r="B62" s="18" t="s">
        <v>46</v>
      </c>
      <c r="C62" s="18" t="s">
        <v>52</v>
      </c>
      <c r="D62" s="18" t="s">
        <v>17</v>
      </c>
      <c r="E62" s="38" t="s">
        <v>10</v>
      </c>
      <c r="F62" s="29">
        <v>800</v>
      </c>
      <c r="G62" s="94">
        <v>320</v>
      </c>
      <c r="H62" s="94">
        <v>0</v>
      </c>
      <c r="I62" s="94">
        <f t="shared" si="0"/>
        <v>0</v>
      </c>
    </row>
    <row r="63" spans="1:9" ht="15.75" outlineLevel="2">
      <c r="A63" s="78" t="s">
        <v>53</v>
      </c>
      <c r="B63" s="18" t="s">
        <v>46</v>
      </c>
      <c r="C63" s="18" t="s">
        <v>35</v>
      </c>
      <c r="D63" s="18"/>
      <c r="E63" s="38"/>
      <c r="F63" s="29"/>
      <c r="G63" s="94">
        <f>SUM(G64+G71+G75+G77+G79+G83+G86+G91+G73+G69)</f>
        <v>33385.21</v>
      </c>
      <c r="H63" s="94">
        <f>SUM(H64+H71+H75+H77+H79+H83+H86+H91+H73+H69)</f>
        <v>27435.54417</v>
      </c>
      <c r="I63" s="94">
        <f t="shared" si="0"/>
        <v>82.17873774045454</v>
      </c>
    </row>
    <row r="64" spans="1:9" ht="50.25" customHeight="1" outlineLevel="2">
      <c r="A64" s="78" t="s">
        <v>260</v>
      </c>
      <c r="B64" s="18" t="s">
        <v>46</v>
      </c>
      <c r="C64" s="18" t="s">
        <v>35</v>
      </c>
      <c r="D64" s="18" t="s">
        <v>6</v>
      </c>
      <c r="E64" s="38">
        <v>0</v>
      </c>
      <c r="F64" s="29"/>
      <c r="G64" s="94">
        <f>SUM(G67+G65)</f>
        <v>2180</v>
      </c>
      <c r="H64" s="94">
        <f>SUM(H67+H65)</f>
        <v>572.32</v>
      </c>
      <c r="I64" s="94">
        <f t="shared" si="0"/>
        <v>26.253211009174315</v>
      </c>
    </row>
    <row r="65" spans="1:9" ht="52.5" customHeight="1" outlineLevel="2">
      <c r="A65" s="78" t="s">
        <v>280</v>
      </c>
      <c r="B65" s="18" t="s">
        <v>46</v>
      </c>
      <c r="C65" s="18" t="s">
        <v>35</v>
      </c>
      <c r="D65" s="18" t="s">
        <v>6</v>
      </c>
      <c r="E65" s="38">
        <v>3</v>
      </c>
      <c r="F65" s="29"/>
      <c r="G65" s="94">
        <f>SUM(G66:G66)</f>
        <v>2000</v>
      </c>
      <c r="H65" s="94">
        <f>SUM(H66:H66)</f>
        <v>499.85</v>
      </c>
      <c r="I65" s="94">
        <f t="shared" si="0"/>
        <v>24.9925</v>
      </c>
    </row>
    <row r="66" spans="1:9" ht="34.5" customHeight="1" outlineLevel="2">
      <c r="A66" s="78" t="s">
        <v>190</v>
      </c>
      <c r="B66" s="18" t="s">
        <v>46</v>
      </c>
      <c r="C66" s="18" t="s">
        <v>35</v>
      </c>
      <c r="D66" s="18" t="s">
        <v>6</v>
      </c>
      <c r="E66" s="38">
        <v>3</v>
      </c>
      <c r="F66" s="29">
        <v>600</v>
      </c>
      <c r="G66" s="94">
        <f>4113-2113</f>
        <v>2000</v>
      </c>
      <c r="H66" s="94">
        <v>499.85</v>
      </c>
      <c r="I66" s="94">
        <f t="shared" si="0"/>
        <v>24.9925</v>
      </c>
    </row>
    <row r="67" spans="1:9" ht="47.25" outlineLevel="2">
      <c r="A67" s="78" t="s">
        <v>236</v>
      </c>
      <c r="B67" s="18" t="s">
        <v>46</v>
      </c>
      <c r="C67" s="18" t="s">
        <v>35</v>
      </c>
      <c r="D67" s="18" t="s">
        <v>6</v>
      </c>
      <c r="E67" s="38">
        <v>4</v>
      </c>
      <c r="F67" s="29"/>
      <c r="G67" s="94">
        <f>SUM(G68)</f>
        <v>180</v>
      </c>
      <c r="H67" s="94">
        <f>SUM(H68)</f>
        <v>72.47</v>
      </c>
      <c r="I67" s="94">
        <f t="shared" si="0"/>
        <v>40.261111111111106</v>
      </c>
    </row>
    <row r="68" spans="1:9" ht="37.5" customHeight="1" outlineLevel="2">
      <c r="A68" s="78" t="s">
        <v>190</v>
      </c>
      <c r="B68" s="18" t="s">
        <v>46</v>
      </c>
      <c r="C68" s="18" t="s">
        <v>35</v>
      </c>
      <c r="D68" s="18" t="s">
        <v>6</v>
      </c>
      <c r="E68" s="38">
        <v>4</v>
      </c>
      <c r="F68" s="29">
        <v>600</v>
      </c>
      <c r="G68" s="94">
        <f>300-120</f>
        <v>180</v>
      </c>
      <c r="H68" s="94">
        <v>72.47</v>
      </c>
      <c r="I68" s="94">
        <f t="shared" si="0"/>
        <v>40.261111111111106</v>
      </c>
    </row>
    <row r="69" spans="1:9" ht="31.5" outlineLevel="2">
      <c r="A69" s="78" t="s">
        <v>267</v>
      </c>
      <c r="B69" s="18" t="s">
        <v>46</v>
      </c>
      <c r="C69" s="18" t="s">
        <v>35</v>
      </c>
      <c r="D69" s="18" t="s">
        <v>11</v>
      </c>
      <c r="E69" s="38">
        <v>0</v>
      </c>
      <c r="F69" s="29"/>
      <c r="G69" s="94">
        <f>SUM(G70)</f>
        <v>75</v>
      </c>
      <c r="H69" s="94">
        <f>SUM(H70)</f>
        <v>73.066</v>
      </c>
      <c r="I69" s="94">
        <f t="shared" si="0"/>
        <v>97.42133333333334</v>
      </c>
    </row>
    <row r="70" spans="1:9" ht="31.5" outlineLevel="2">
      <c r="A70" s="78" t="s">
        <v>117</v>
      </c>
      <c r="B70" s="18" t="s">
        <v>46</v>
      </c>
      <c r="C70" s="18" t="s">
        <v>35</v>
      </c>
      <c r="D70" s="18" t="s">
        <v>11</v>
      </c>
      <c r="E70" s="38">
        <v>0</v>
      </c>
      <c r="F70" s="29">
        <v>200</v>
      </c>
      <c r="G70" s="94">
        <f>50+25</f>
        <v>75</v>
      </c>
      <c r="H70" s="94">
        <v>73.066</v>
      </c>
      <c r="I70" s="94">
        <f t="shared" si="0"/>
        <v>97.42133333333334</v>
      </c>
    </row>
    <row r="71" spans="1:9" ht="68.25" customHeight="1" outlineLevel="2">
      <c r="A71" s="78" t="s">
        <v>258</v>
      </c>
      <c r="B71" s="18" t="s">
        <v>46</v>
      </c>
      <c r="C71" s="18" t="s">
        <v>35</v>
      </c>
      <c r="D71" s="18" t="s">
        <v>178</v>
      </c>
      <c r="E71" s="38">
        <v>0</v>
      </c>
      <c r="F71" s="29"/>
      <c r="G71" s="94">
        <f>SUM(G72)</f>
        <v>100</v>
      </c>
      <c r="H71" s="94">
        <f>SUM(H72)</f>
        <v>0</v>
      </c>
      <c r="I71" s="94">
        <f t="shared" si="0"/>
        <v>0</v>
      </c>
    </row>
    <row r="72" spans="1:9" ht="31.5" outlineLevel="2">
      <c r="A72" s="78" t="s">
        <v>117</v>
      </c>
      <c r="B72" s="18" t="s">
        <v>46</v>
      </c>
      <c r="C72" s="18" t="s">
        <v>35</v>
      </c>
      <c r="D72" s="18" t="s">
        <v>178</v>
      </c>
      <c r="E72" s="38">
        <v>0</v>
      </c>
      <c r="F72" s="29">
        <v>200</v>
      </c>
      <c r="G72" s="94">
        <v>100</v>
      </c>
      <c r="H72" s="94">
        <v>0</v>
      </c>
      <c r="I72" s="94">
        <f t="shared" si="0"/>
        <v>0</v>
      </c>
    </row>
    <row r="73" spans="1:9" ht="52.5" customHeight="1" outlineLevel="2">
      <c r="A73" s="78" t="s">
        <v>276</v>
      </c>
      <c r="B73" s="18" t="s">
        <v>46</v>
      </c>
      <c r="C73" s="18" t="s">
        <v>35</v>
      </c>
      <c r="D73" s="18" t="s">
        <v>232</v>
      </c>
      <c r="E73" s="38">
        <v>0</v>
      </c>
      <c r="F73" s="29"/>
      <c r="G73" s="94">
        <f>SUM(G74)</f>
        <v>50</v>
      </c>
      <c r="H73" s="94">
        <f>SUM(H74)</f>
        <v>0</v>
      </c>
      <c r="I73" s="94">
        <f t="shared" si="0"/>
        <v>0</v>
      </c>
    </row>
    <row r="74" spans="1:9" ht="31.5" outlineLevel="2">
      <c r="A74" s="78" t="s">
        <v>117</v>
      </c>
      <c r="B74" s="18" t="s">
        <v>46</v>
      </c>
      <c r="C74" s="18" t="s">
        <v>35</v>
      </c>
      <c r="D74" s="18" t="s">
        <v>232</v>
      </c>
      <c r="E74" s="38">
        <v>0</v>
      </c>
      <c r="F74" s="29">
        <v>200</v>
      </c>
      <c r="G74" s="94">
        <v>50</v>
      </c>
      <c r="H74" s="94">
        <v>0</v>
      </c>
      <c r="I74" s="94">
        <f t="shared" si="0"/>
        <v>0</v>
      </c>
    </row>
    <row r="75" spans="1:9" ht="117" customHeight="1" outlineLevel="2">
      <c r="A75" s="78" t="s">
        <v>279</v>
      </c>
      <c r="B75" s="18" t="s">
        <v>46</v>
      </c>
      <c r="C75" s="18" t="s">
        <v>35</v>
      </c>
      <c r="D75" s="18" t="s">
        <v>19</v>
      </c>
      <c r="E75" s="38">
        <v>0</v>
      </c>
      <c r="F75" s="29"/>
      <c r="G75" s="94">
        <f>SUM(G76)</f>
        <v>4028.8</v>
      </c>
      <c r="H75" s="94">
        <f>SUM(H76)</f>
        <v>3773.93093</v>
      </c>
      <c r="I75" s="94">
        <f aca="true" t="shared" si="3" ref="I75:I137">SUM(H75/G75)*100</f>
        <v>93.67382173351866</v>
      </c>
    </row>
    <row r="76" spans="1:9" ht="30.75" customHeight="1" outlineLevel="2">
      <c r="A76" s="78" t="s">
        <v>190</v>
      </c>
      <c r="B76" s="18" t="s">
        <v>46</v>
      </c>
      <c r="C76" s="18" t="s">
        <v>35</v>
      </c>
      <c r="D76" s="18" t="s">
        <v>19</v>
      </c>
      <c r="E76" s="38">
        <v>0</v>
      </c>
      <c r="F76" s="29">
        <v>600</v>
      </c>
      <c r="G76" s="94">
        <f>3800+168.8+60</f>
        <v>4028.8</v>
      </c>
      <c r="H76" s="94">
        <v>3773.93093</v>
      </c>
      <c r="I76" s="94">
        <f t="shared" si="3"/>
        <v>93.67382173351866</v>
      </c>
    </row>
    <row r="77" spans="1:9" ht="96.75" customHeight="1" outlineLevel="2">
      <c r="A77" s="78" t="s">
        <v>235</v>
      </c>
      <c r="B77" s="18" t="s">
        <v>46</v>
      </c>
      <c r="C77" s="18" t="s">
        <v>35</v>
      </c>
      <c r="D77" s="18" t="s">
        <v>15</v>
      </c>
      <c r="E77" s="38">
        <v>0</v>
      </c>
      <c r="F77" s="29"/>
      <c r="G77" s="94">
        <f>SUM(G78)</f>
        <v>23500</v>
      </c>
      <c r="H77" s="94">
        <f>SUM(H78)</f>
        <v>20703.00821</v>
      </c>
      <c r="I77" s="94">
        <f t="shared" si="3"/>
        <v>88.09790727659575</v>
      </c>
    </row>
    <row r="78" spans="1:9" ht="35.25" customHeight="1" outlineLevel="2">
      <c r="A78" s="78" t="s">
        <v>190</v>
      </c>
      <c r="B78" s="18" t="s">
        <v>46</v>
      </c>
      <c r="C78" s="18" t="s">
        <v>35</v>
      </c>
      <c r="D78" s="18" t="s">
        <v>15</v>
      </c>
      <c r="E78" s="38">
        <v>0</v>
      </c>
      <c r="F78" s="29">
        <v>600</v>
      </c>
      <c r="G78" s="94">
        <f>19000+1000+3500</f>
        <v>23500</v>
      </c>
      <c r="H78" s="94">
        <v>20703.00821</v>
      </c>
      <c r="I78" s="94">
        <f t="shared" si="3"/>
        <v>88.09790727659575</v>
      </c>
    </row>
    <row r="79" spans="1:9" ht="31.5" outlineLevel="2">
      <c r="A79" s="78" t="s">
        <v>56</v>
      </c>
      <c r="B79" s="18" t="s">
        <v>46</v>
      </c>
      <c r="C79" s="18" t="s">
        <v>35</v>
      </c>
      <c r="D79" s="18"/>
      <c r="E79" s="38"/>
      <c r="F79" s="29"/>
      <c r="G79" s="94">
        <f>SUM(G80)</f>
        <v>1061.4</v>
      </c>
      <c r="H79" s="94">
        <f>SUM(H80)</f>
        <v>732.6768400000001</v>
      </c>
      <c r="I79" s="94">
        <f t="shared" si="3"/>
        <v>69.02928584887884</v>
      </c>
    </row>
    <row r="80" spans="1:9" ht="48" customHeight="1" outlineLevel="2">
      <c r="A80" s="78" t="s">
        <v>118</v>
      </c>
      <c r="B80" s="18" t="s">
        <v>46</v>
      </c>
      <c r="C80" s="18" t="s">
        <v>35</v>
      </c>
      <c r="D80" s="18" t="s">
        <v>12</v>
      </c>
      <c r="E80" s="38">
        <v>0</v>
      </c>
      <c r="F80" s="29"/>
      <c r="G80" s="94">
        <f>SUM(G81:G82)</f>
        <v>1061.4</v>
      </c>
      <c r="H80" s="94">
        <f>SUM(H81:H82)</f>
        <v>732.6768400000001</v>
      </c>
      <c r="I80" s="94">
        <f t="shared" si="3"/>
        <v>69.02928584887884</v>
      </c>
    </row>
    <row r="81" spans="1:9" ht="75" customHeight="1" outlineLevel="2">
      <c r="A81" s="78" t="s">
        <v>116</v>
      </c>
      <c r="B81" s="18" t="s">
        <v>46</v>
      </c>
      <c r="C81" s="18" t="s">
        <v>35</v>
      </c>
      <c r="D81" s="18" t="s">
        <v>12</v>
      </c>
      <c r="E81" s="38" t="s">
        <v>10</v>
      </c>
      <c r="F81" s="29">
        <v>100</v>
      </c>
      <c r="G81" s="94">
        <v>841.7</v>
      </c>
      <c r="H81" s="94">
        <v>598.18416</v>
      </c>
      <c r="I81" s="94">
        <f t="shared" si="3"/>
        <v>71.06857074967327</v>
      </c>
    </row>
    <row r="82" spans="1:9" ht="31.5" outlineLevel="2">
      <c r="A82" s="78" t="s">
        <v>117</v>
      </c>
      <c r="B82" s="18" t="s">
        <v>46</v>
      </c>
      <c r="C82" s="18" t="s">
        <v>35</v>
      </c>
      <c r="D82" s="18" t="s">
        <v>12</v>
      </c>
      <c r="E82" s="38" t="s">
        <v>10</v>
      </c>
      <c r="F82" s="29">
        <v>200</v>
      </c>
      <c r="G82" s="94">
        <v>219.7</v>
      </c>
      <c r="H82" s="94">
        <v>134.49268</v>
      </c>
      <c r="I82" s="94">
        <f t="shared" si="3"/>
        <v>61.21651342740101</v>
      </c>
    </row>
    <row r="83" spans="1:9" ht="33" customHeight="1" outlineLevel="2">
      <c r="A83" s="78" t="s">
        <v>54</v>
      </c>
      <c r="B83" s="18" t="s">
        <v>46</v>
      </c>
      <c r="C83" s="18" t="s">
        <v>35</v>
      </c>
      <c r="D83" s="18" t="s">
        <v>17</v>
      </c>
      <c r="E83" s="38">
        <v>0</v>
      </c>
      <c r="F83" s="29"/>
      <c r="G83" s="94">
        <f>SUM(G84)</f>
        <v>100</v>
      </c>
      <c r="H83" s="94">
        <f>SUM(H84)</f>
        <v>34.5</v>
      </c>
      <c r="I83" s="94">
        <f t="shared" si="3"/>
        <v>34.5</v>
      </c>
    </row>
    <row r="84" spans="1:9" ht="35.25" customHeight="1" outlineLevel="2">
      <c r="A84" s="78" t="s">
        <v>189</v>
      </c>
      <c r="B84" s="18" t="s">
        <v>46</v>
      </c>
      <c r="C84" s="18" t="s">
        <v>35</v>
      </c>
      <c r="D84" s="18" t="s">
        <v>17</v>
      </c>
      <c r="E84" s="38" t="s">
        <v>10</v>
      </c>
      <c r="F84" s="29"/>
      <c r="G84" s="94">
        <f>SUM(G85)</f>
        <v>100</v>
      </c>
      <c r="H84" s="94">
        <f>SUM(H85)</f>
        <v>34.5</v>
      </c>
      <c r="I84" s="94">
        <f t="shared" si="3"/>
        <v>34.5</v>
      </c>
    </row>
    <row r="85" spans="1:9" ht="31.5" outlineLevel="5">
      <c r="A85" s="78" t="s">
        <v>117</v>
      </c>
      <c r="B85" s="18" t="s">
        <v>46</v>
      </c>
      <c r="C85" s="18" t="s">
        <v>35</v>
      </c>
      <c r="D85" s="18" t="s">
        <v>17</v>
      </c>
      <c r="E85" s="38" t="s">
        <v>10</v>
      </c>
      <c r="F85" s="29">
        <v>200</v>
      </c>
      <c r="G85" s="94">
        <v>100</v>
      </c>
      <c r="H85" s="94">
        <v>34.5</v>
      </c>
      <c r="I85" s="94">
        <f t="shared" si="3"/>
        <v>34.5</v>
      </c>
    </row>
    <row r="86" spans="1:9" ht="31.5" outlineLevel="5">
      <c r="A86" s="78" t="s">
        <v>55</v>
      </c>
      <c r="B86" s="18" t="s">
        <v>46</v>
      </c>
      <c r="C86" s="18" t="s">
        <v>35</v>
      </c>
      <c r="D86" s="18" t="s">
        <v>17</v>
      </c>
      <c r="E86" s="38">
        <v>0</v>
      </c>
      <c r="F86" s="29"/>
      <c r="G86" s="94">
        <f>SUM(G87)</f>
        <v>2290.01</v>
      </c>
      <c r="H86" s="94">
        <f>SUM(H87)</f>
        <v>1546.04219</v>
      </c>
      <c r="I86" s="94">
        <f t="shared" si="3"/>
        <v>67.51246457439049</v>
      </c>
    </row>
    <row r="87" spans="1:9" ht="34.5" customHeight="1" outlineLevel="5">
      <c r="A87" s="78" t="s">
        <v>189</v>
      </c>
      <c r="B87" s="18" t="s">
        <v>46</v>
      </c>
      <c r="C87" s="18" t="s">
        <v>35</v>
      </c>
      <c r="D87" s="18" t="s">
        <v>17</v>
      </c>
      <c r="E87" s="38" t="s">
        <v>10</v>
      </c>
      <c r="F87" s="29"/>
      <c r="G87" s="94">
        <f>SUM(G88:G90)</f>
        <v>2290.01</v>
      </c>
      <c r="H87" s="94">
        <f>SUM(H88:H90)</f>
        <v>1546.04219</v>
      </c>
      <c r="I87" s="94">
        <f t="shared" si="3"/>
        <v>67.51246457439049</v>
      </c>
    </row>
    <row r="88" spans="1:9" ht="31.5" outlineLevel="5">
      <c r="A88" s="78" t="s">
        <v>117</v>
      </c>
      <c r="B88" s="18" t="s">
        <v>46</v>
      </c>
      <c r="C88" s="18" t="s">
        <v>35</v>
      </c>
      <c r="D88" s="18" t="s">
        <v>17</v>
      </c>
      <c r="E88" s="38">
        <v>0</v>
      </c>
      <c r="F88" s="29">
        <v>200</v>
      </c>
      <c r="G88" s="94">
        <f>975+1000-500+300-500+0.01+100-530-90-200</f>
        <v>555.01</v>
      </c>
      <c r="H88" s="94">
        <v>373.71254</v>
      </c>
      <c r="I88" s="94">
        <f t="shared" si="3"/>
        <v>67.33437956072864</v>
      </c>
    </row>
    <row r="89" spans="1:9" ht="18.75" customHeight="1" outlineLevel="5">
      <c r="A89" s="78" t="s">
        <v>191</v>
      </c>
      <c r="B89" s="18" t="s">
        <v>46</v>
      </c>
      <c r="C89" s="18" t="s">
        <v>35</v>
      </c>
      <c r="D89" s="18" t="s">
        <v>17</v>
      </c>
      <c r="E89" s="38">
        <v>0</v>
      </c>
      <c r="F89" s="29">
        <v>300</v>
      </c>
      <c r="G89" s="94">
        <f>530+90+55-145</f>
        <v>530</v>
      </c>
      <c r="H89" s="94">
        <v>60</v>
      </c>
      <c r="I89" s="94">
        <f t="shared" si="3"/>
        <v>11.320754716981133</v>
      </c>
    </row>
    <row r="90" spans="1:9" ht="15.75" outlineLevel="5">
      <c r="A90" s="78" t="s">
        <v>170</v>
      </c>
      <c r="B90" s="18" t="s">
        <v>46</v>
      </c>
      <c r="C90" s="18" t="s">
        <v>35</v>
      </c>
      <c r="D90" s="18" t="s">
        <v>17</v>
      </c>
      <c r="E90" s="38">
        <v>0</v>
      </c>
      <c r="F90" s="29">
        <v>800</v>
      </c>
      <c r="G90" s="94">
        <f>155+1050</f>
        <v>1205</v>
      </c>
      <c r="H90" s="94">
        <v>1112.32965</v>
      </c>
      <c r="I90" s="94">
        <f t="shared" si="3"/>
        <v>92.30951452282157</v>
      </c>
    </row>
    <row r="91" spans="1:9" ht="15.75" outlineLevel="5">
      <c r="A91" s="78" t="s">
        <v>57</v>
      </c>
      <c r="B91" s="18" t="s">
        <v>46</v>
      </c>
      <c r="C91" s="18" t="s">
        <v>35</v>
      </c>
      <c r="D91" s="18" t="s">
        <v>17</v>
      </c>
      <c r="E91" s="38">
        <v>0</v>
      </c>
      <c r="F91" s="29"/>
      <c r="G91" s="94">
        <f>6379.3-418-39.6-80-25-100+50-20-25+100+6.5-5828.2</f>
        <v>0</v>
      </c>
      <c r="H91" s="94">
        <f>11750.9-418-39.6-80-25-100+50-20-25+100+6.5-11199.8</f>
        <v>0</v>
      </c>
      <c r="I91" s="94">
        <v>0</v>
      </c>
    </row>
    <row r="92" spans="1:9" ht="15.75" outlineLevel="1">
      <c r="A92" s="78" t="s">
        <v>58</v>
      </c>
      <c r="B92" s="18" t="s">
        <v>46</v>
      </c>
      <c r="C92" s="18" t="s">
        <v>132</v>
      </c>
      <c r="D92" s="18"/>
      <c r="E92" s="38"/>
      <c r="F92" s="29"/>
      <c r="G92" s="94">
        <f aca="true" t="shared" si="4" ref="G92:H95">SUM(G93)</f>
        <v>20</v>
      </c>
      <c r="H92" s="94">
        <f t="shared" si="4"/>
        <v>0</v>
      </c>
      <c r="I92" s="94">
        <f t="shared" si="3"/>
        <v>0</v>
      </c>
    </row>
    <row r="93" spans="1:9" ht="15.75" outlineLevel="2">
      <c r="A93" s="78" t="s">
        <v>59</v>
      </c>
      <c r="B93" s="18" t="s">
        <v>46</v>
      </c>
      <c r="C93" s="18" t="s">
        <v>60</v>
      </c>
      <c r="D93" s="18"/>
      <c r="E93" s="38"/>
      <c r="F93" s="29"/>
      <c r="G93" s="94">
        <f t="shared" si="4"/>
        <v>20</v>
      </c>
      <c r="H93" s="94">
        <f t="shared" si="4"/>
        <v>0</v>
      </c>
      <c r="I93" s="94">
        <f t="shared" si="3"/>
        <v>0</v>
      </c>
    </row>
    <row r="94" spans="1:9" ht="31.5" outlineLevel="5">
      <c r="A94" s="78" t="s">
        <v>18</v>
      </c>
      <c r="B94" s="18" t="s">
        <v>46</v>
      </c>
      <c r="C94" s="18" t="s">
        <v>60</v>
      </c>
      <c r="D94" s="18"/>
      <c r="E94" s="38"/>
      <c r="F94" s="29"/>
      <c r="G94" s="94">
        <f t="shared" si="4"/>
        <v>20</v>
      </c>
      <c r="H94" s="94">
        <f t="shared" si="4"/>
        <v>0</v>
      </c>
      <c r="I94" s="94">
        <f t="shared" si="3"/>
        <v>0</v>
      </c>
    </row>
    <row r="95" spans="1:9" ht="36.75" customHeight="1" outlineLevel="5">
      <c r="A95" s="78" t="s">
        <v>189</v>
      </c>
      <c r="B95" s="18" t="s">
        <v>46</v>
      </c>
      <c r="C95" s="18" t="s">
        <v>60</v>
      </c>
      <c r="D95" s="18" t="s">
        <v>17</v>
      </c>
      <c r="E95" s="38">
        <v>0</v>
      </c>
      <c r="F95" s="29"/>
      <c r="G95" s="94">
        <f t="shared" si="4"/>
        <v>20</v>
      </c>
      <c r="H95" s="94">
        <f t="shared" si="4"/>
        <v>0</v>
      </c>
      <c r="I95" s="94">
        <f t="shared" si="3"/>
        <v>0</v>
      </c>
    </row>
    <row r="96" spans="1:9" ht="31.5" outlineLevel="5">
      <c r="A96" s="78" t="s">
        <v>117</v>
      </c>
      <c r="B96" s="18" t="s">
        <v>46</v>
      </c>
      <c r="C96" s="18" t="s">
        <v>60</v>
      </c>
      <c r="D96" s="18" t="s">
        <v>17</v>
      </c>
      <c r="E96" s="38">
        <v>0</v>
      </c>
      <c r="F96" s="29">
        <v>200</v>
      </c>
      <c r="G96" s="94">
        <v>20</v>
      </c>
      <c r="H96" s="94">
        <v>0</v>
      </c>
      <c r="I96" s="94">
        <f t="shared" si="3"/>
        <v>0</v>
      </c>
    </row>
    <row r="97" spans="1:9" ht="31.5" outlineLevel="5">
      <c r="A97" s="78" t="s">
        <v>137</v>
      </c>
      <c r="B97" s="18" t="s">
        <v>46</v>
      </c>
      <c r="C97" s="18" t="s">
        <v>133</v>
      </c>
      <c r="D97" s="18"/>
      <c r="E97" s="38"/>
      <c r="F97" s="29"/>
      <c r="G97" s="94">
        <f>SUM(G98+G101)</f>
        <v>270</v>
      </c>
      <c r="H97" s="94">
        <f>SUM(H98+H101)</f>
        <v>177.666</v>
      </c>
      <c r="I97" s="94">
        <f t="shared" si="3"/>
        <v>65.80222222222221</v>
      </c>
    </row>
    <row r="98" spans="1:9" ht="47.25" customHeight="1" outlineLevel="1">
      <c r="A98" s="78" t="s">
        <v>138</v>
      </c>
      <c r="B98" s="18" t="s">
        <v>46</v>
      </c>
      <c r="C98" s="18" t="s">
        <v>61</v>
      </c>
      <c r="D98" s="18"/>
      <c r="E98" s="38"/>
      <c r="F98" s="29"/>
      <c r="G98" s="94">
        <f>SUM(G99)</f>
        <v>250</v>
      </c>
      <c r="H98" s="94">
        <f>SUM(H99)</f>
        <v>177.666</v>
      </c>
      <c r="I98" s="94">
        <f t="shared" si="3"/>
        <v>71.0664</v>
      </c>
    </row>
    <row r="99" spans="1:9" ht="39" customHeight="1" outlineLevel="2">
      <c r="A99" s="78" t="s">
        <v>189</v>
      </c>
      <c r="B99" s="18" t="s">
        <v>46</v>
      </c>
      <c r="C99" s="18" t="s">
        <v>61</v>
      </c>
      <c r="D99" s="18" t="s">
        <v>17</v>
      </c>
      <c r="E99" s="38">
        <v>0</v>
      </c>
      <c r="F99" s="29"/>
      <c r="G99" s="94">
        <f>SUM(G100)</f>
        <v>250</v>
      </c>
      <c r="H99" s="94">
        <f>SUM(H100)</f>
        <v>177.666</v>
      </c>
      <c r="I99" s="94">
        <f t="shared" si="3"/>
        <v>71.0664</v>
      </c>
    </row>
    <row r="100" spans="1:9" ht="31.5" outlineLevel="3">
      <c r="A100" s="78" t="s">
        <v>117</v>
      </c>
      <c r="B100" s="18" t="s">
        <v>46</v>
      </c>
      <c r="C100" s="18" t="s">
        <v>61</v>
      </c>
      <c r="D100" s="18" t="s">
        <v>17</v>
      </c>
      <c r="E100" s="38">
        <v>0</v>
      </c>
      <c r="F100" s="29">
        <v>200</v>
      </c>
      <c r="G100" s="94">
        <f>50+200</f>
        <v>250</v>
      </c>
      <c r="H100" s="94">
        <v>177.666</v>
      </c>
      <c r="I100" s="94">
        <f t="shared" si="3"/>
        <v>71.0664</v>
      </c>
    </row>
    <row r="101" spans="1:9" ht="34.5" customHeight="1" outlineLevel="3">
      <c r="A101" s="78" t="s">
        <v>139</v>
      </c>
      <c r="B101" s="18" t="s">
        <v>46</v>
      </c>
      <c r="C101" s="18" t="s">
        <v>61</v>
      </c>
      <c r="D101" s="18"/>
      <c r="E101" s="38"/>
      <c r="F101" s="29"/>
      <c r="G101" s="101">
        <f>SUM(G102)</f>
        <v>20</v>
      </c>
      <c r="H101" s="101">
        <f>SUM(H102)</f>
        <v>0</v>
      </c>
      <c r="I101" s="94">
        <f t="shared" si="3"/>
        <v>0</v>
      </c>
    </row>
    <row r="102" spans="1:9" ht="37.5" customHeight="1" outlineLevel="1">
      <c r="A102" s="78" t="s">
        <v>189</v>
      </c>
      <c r="B102" s="18" t="s">
        <v>46</v>
      </c>
      <c r="C102" s="18" t="s">
        <v>61</v>
      </c>
      <c r="D102" s="18" t="s">
        <v>17</v>
      </c>
      <c r="E102" s="38">
        <v>0</v>
      </c>
      <c r="F102" s="29"/>
      <c r="G102" s="94">
        <f>SUM(G103)</f>
        <v>20</v>
      </c>
      <c r="H102" s="94">
        <f>SUM(H103)</f>
        <v>0</v>
      </c>
      <c r="I102" s="94">
        <f t="shared" si="3"/>
        <v>0</v>
      </c>
    </row>
    <row r="103" spans="1:9" ht="31.5" outlineLevel="2">
      <c r="A103" s="78" t="s">
        <v>117</v>
      </c>
      <c r="B103" s="18" t="s">
        <v>46</v>
      </c>
      <c r="C103" s="18" t="s">
        <v>61</v>
      </c>
      <c r="D103" s="18" t="s">
        <v>17</v>
      </c>
      <c r="E103" s="38">
        <v>0</v>
      </c>
      <c r="F103" s="29">
        <v>200</v>
      </c>
      <c r="G103" s="94">
        <v>20</v>
      </c>
      <c r="H103" s="94">
        <v>0</v>
      </c>
      <c r="I103" s="94">
        <f t="shared" si="3"/>
        <v>0</v>
      </c>
    </row>
    <row r="104" spans="1:9" ht="15.75" outlineLevel="3">
      <c r="A104" s="78" t="s">
        <v>140</v>
      </c>
      <c r="B104" s="18" t="s">
        <v>46</v>
      </c>
      <c r="C104" s="18" t="s">
        <v>72</v>
      </c>
      <c r="D104" s="18"/>
      <c r="E104" s="38"/>
      <c r="F104" s="29"/>
      <c r="G104" s="101">
        <f>SUM(G105+G109+G113)</f>
        <v>20163.062719999998</v>
      </c>
      <c r="H104" s="101">
        <f>SUM(H105+H109+H113)</f>
        <v>10082.62873</v>
      </c>
      <c r="I104" s="94">
        <f t="shared" si="3"/>
        <v>50.00544247674691</v>
      </c>
    </row>
    <row r="105" spans="1:9" ht="15.75" outlineLevel="3">
      <c r="A105" s="78" t="s">
        <v>171</v>
      </c>
      <c r="B105" s="18" t="s">
        <v>46</v>
      </c>
      <c r="C105" s="18" t="s">
        <v>172</v>
      </c>
      <c r="D105" s="18"/>
      <c r="E105" s="38"/>
      <c r="F105" s="29"/>
      <c r="G105" s="101">
        <f aca="true" t="shared" si="5" ref="G105:H107">SUM(G106)</f>
        <v>21.3</v>
      </c>
      <c r="H105" s="101">
        <f t="shared" si="5"/>
        <v>0</v>
      </c>
      <c r="I105" s="94">
        <f t="shared" si="3"/>
        <v>0</v>
      </c>
    </row>
    <row r="106" spans="1:9" ht="67.5" customHeight="1" outlineLevel="3">
      <c r="A106" s="78" t="s">
        <v>288</v>
      </c>
      <c r="B106" s="18" t="s">
        <v>46</v>
      </c>
      <c r="C106" s="18" t="s">
        <v>172</v>
      </c>
      <c r="D106" s="18"/>
      <c r="E106" s="38"/>
      <c r="F106" s="29"/>
      <c r="G106" s="101">
        <f t="shared" si="5"/>
        <v>21.3</v>
      </c>
      <c r="H106" s="101">
        <f t="shared" si="5"/>
        <v>0</v>
      </c>
      <c r="I106" s="94">
        <f t="shared" si="3"/>
        <v>0</v>
      </c>
    </row>
    <row r="107" spans="1:9" ht="32.25" customHeight="1" outlineLevel="3">
      <c r="A107" s="78" t="s">
        <v>189</v>
      </c>
      <c r="B107" s="18" t="s">
        <v>46</v>
      </c>
      <c r="C107" s="18" t="s">
        <v>172</v>
      </c>
      <c r="D107" s="18" t="s">
        <v>17</v>
      </c>
      <c r="E107" s="38">
        <v>0</v>
      </c>
      <c r="F107" s="29"/>
      <c r="G107" s="101">
        <f t="shared" si="5"/>
        <v>21.3</v>
      </c>
      <c r="H107" s="101">
        <f t="shared" si="5"/>
        <v>0</v>
      </c>
      <c r="I107" s="94">
        <f t="shared" si="3"/>
        <v>0</v>
      </c>
    </row>
    <row r="108" spans="1:9" ht="33.75" customHeight="1" outlineLevel="3">
      <c r="A108" s="78" t="s">
        <v>117</v>
      </c>
      <c r="B108" s="18" t="s">
        <v>46</v>
      </c>
      <c r="C108" s="18" t="s">
        <v>172</v>
      </c>
      <c r="D108" s="18" t="s">
        <v>17</v>
      </c>
      <c r="E108" s="38">
        <v>0</v>
      </c>
      <c r="F108" s="29">
        <v>200</v>
      </c>
      <c r="G108" s="94">
        <f>25-3.7</f>
        <v>21.3</v>
      </c>
      <c r="H108" s="94">
        <v>0</v>
      </c>
      <c r="I108" s="94">
        <f t="shared" si="3"/>
        <v>0</v>
      </c>
    </row>
    <row r="109" spans="1:9" ht="15.75">
      <c r="A109" s="78" t="s">
        <v>141</v>
      </c>
      <c r="B109" s="18" t="s">
        <v>46</v>
      </c>
      <c r="C109" s="18" t="s">
        <v>62</v>
      </c>
      <c r="D109" s="18"/>
      <c r="E109" s="38"/>
      <c r="F109" s="29"/>
      <c r="G109" s="101">
        <f>SUM(G110)</f>
        <v>16886.76272</v>
      </c>
      <c r="H109" s="101">
        <f>SUM(H110)</f>
        <v>9844.634</v>
      </c>
      <c r="I109" s="94">
        <f t="shared" si="3"/>
        <v>58.29793527175231</v>
      </c>
    </row>
    <row r="110" spans="1:9" ht="66" customHeight="1" outlineLevel="1">
      <c r="A110" s="78" t="s">
        <v>291</v>
      </c>
      <c r="B110" s="18" t="s">
        <v>46</v>
      </c>
      <c r="C110" s="18" t="s">
        <v>62</v>
      </c>
      <c r="D110" s="18" t="s">
        <v>175</v>
      </c>
      <c r="E110" s="38">
        <v>0</v>
      </c>
      <c r="F110" s="48"/>
      <c r="G110" s="94">
        <f>SUM(G111:G112)</f>
        <v>16886.76272</v>
      </c>
      <c r="H110" s="94">
        <f>SUM(H111:H112)</f>
        <v>9844.634</v>
      </c>
      <c r="I110" s="94">
        <f t="shared" si="3"/>
        <v>58.29793527175231</v>
      </c>
    </row>
    <row r="111" spans="1:9" ht="31.5" outlineLevel="2">
      <c r="A111" s="78" t="s">
        <v>117</v>
      </c>
      <c r="B111" s="18" t="s">
        <v>46</v>
      </c>
      <c r="C111" s="18" t="s">
        <v>62</v>
      </c>
      <c r="D111" s="18" t="s">
        <v>175</v>
      </c>
      <c r="E111" s="38">
        <v>0</v>
      </c>
      <c r="F111" s="48">
        <v>200</v>
      </c>
      <c r="G111" s="94">
        <f>3397.7+1564.9+11924.16272-10000</f>
        <v>6886.762719999999</v>
      </c>
      <c r="H111" s="94">
        <v>0</v>
      </c>
      <c r="I111" s="94">
        <f t="shared" si="3"/>
        <v>0</v>
      </c>
    </row>
    <row r="112" spans="1:9" ht="15.75" outlineLevel="2">
      <c r="A112" s="78" t="s">
        <v>192</v>
      </c>
      <c r="B112" s="18" t="s">
        <v>46</v>
      </c>
      <c r="C112" s="18" t="s">
        <v>62</v>
      </c>
      <c r="D112" s="18" t="s">
        <v>175</v>
      </c>
      <c r="E112" s="38">
        <v>0</v>
      </c>
      <c r="F112" s="48">
        <v>500</v>
      </c>
      <c r="G112" s="94">
        <f>10000</f>
        <v>10000</v>
      </c>
      <c r="H112" s="94">
        <v>9844.634</v>
      </c>
      <c r="I112" s="94">
        <f t="shared" si="3"/>
        <v>98.44633999999999</v>
      </c>
    </row>
    <row r="113" spans="1:9" ht="17.25" customHeight="1" outlineLevel="3">
      <c r="A113" s="78" t="s">
        <v>142</v>
      </c>
      <c r="B113" s="18" t="s">
        <v>46</v>
      </c>
      <c r="C113" s="18" t="s">
        <v>64</v>
      </c>
      <c r="D113" s="18"/>
      <c r="E113" s="38"/>
      <c r="F113" s="29"/>
      <c r="G113" s="94">
        <f>SUM(G114+G118+G121)</f>
        <v>3255</v>
      </c>
      <c r="H113" s="94">
        <f>SUM(H114+H118+H121)</f>
        <v>237.99473</v>
      </c>
      <c r="I113" s="94">
        <f t="shared" si="3"/>
        <v>7.311666052227343</v>
      </c>
    </row>
    <row r="114" spans="1:9" ht="46.5" customHeight="1" outlineLevel="3">
      <c r="A114" s="78" t="s">
        <v>186</v>
      </c>
      <c r="B114" s="18" t="s">
        <v>46</v>
      </c>
      <c r="C114" s="18" t="s">
        <v>64</v>
      </c>
      <c r="D114" s="18" t="s">
        <v>14</v>
      </c>
      <c r="E114" s="38">
        <v>0</v>
      </c>
      <c r="F114" s="29"/>
      <c r="G114" s="94">
        <f>SUM(G115:G117)</f>
        <v>300</v>
      </c>
      <c r="H114" s="94">
        <f>SUM(H115:H117)</f>
        <v>0</v>
      </c>
      <c r="I114" s="94">
        <f t="shared" si="3"/>
        <v>0</v>
      </c>
    </row>
    <row r="115" spans="1:9" ht="31.5" outlineLevel="3">
      <c r="A115" s="78" t="s">
        <v>117</v>
      </c>
      <c r="B115" s="18" t="s">
        <v>46</v>
      </c>
      <c r="C115" s="18" t="s">
        <v>64</v>
      </c>
      <c r="D115" s="18" t="s">
        <v>14</v>
      </c>
      <c r="E115" s="38">
        <v>0</v>
      </c>
      <c r="F115" s="29">
        <v>200</v>
      </c>
      <c r="G115" s="94">
        <v>50</v>
      </c>
      <c r="H115" s="94">
        <v>0</v>
      </c>
      <c r="I115" s="94">
        <f t="shared" si="3"/>
        <v>0</v>
      </c>
    </row>
    <row r="116" spans="1:9" ht="19.5" customHeight="1" outlineLevel="3">
      <c r="A116" s="78" t="s">
        <v>191</v>
      </c>
      <c r="B116" s="18" t="s">
        <v>46</v>
      </c>
      <c r="C116" s="18" t="s">
        <v>64</v>
      </c>
      <c r="D116" s="18" t="s">
        <v>14</v>
      </c>
      <c r="E116" s="38">
        <v>0</v>
      </c>
      <c r="F116" s="29">
        <v>300</v>
      </c>
      <c r="G116" s="94">
        <v>50</v>
      </c>
      <c r="H116" s="94">
        <v>0</v>
      </c>
      <c r="I116" s="94">
        <f t="shared" si="3"/>
        <v>0</v>
      </c>
    </row>
    <row r="117" spans="1:9" ht="15.75" outlineLevel="3">
      <c r="A117" s="78" t="s">
        <v>170</v>
      </c>
      <c r="B117" s="18" t="s">
        <v>46</v>
      </c>
      <c r="C117" s="18" t="s">
        <v>64</v>
      </c>
      <c r="D117" s="18" t="s">
        <v>14</v>
      </c>
      <c r="E117" s="38">
        <v>0</v>
      </c>
      <c r="F117" s="29">
        <v>800</v>
      </c>
      <c r="G117" s="94">
        <v>200</v>
      </c>
      <c r="H117" s="94">
        <v>0</v>
      </c>
      <c r="I117" s="94">
        <f t="shared" si="3"/>
        <v>0</v>
      </c>
    </row>
    <row r="118" spans="1:9" ht="22.5" customHeight="1" outlineLevel="1">
      <c r="A118" s="78" t="s">
        <v>143</v>
      </c>
      <c r="B118" s="18" t="s">
        <v>46</v>
      </c>
      <c r="C118" s="18" t="s">
        <v>64</v>
      </c>
      <c r="D118" s="18"/>
      <c r="E118" s="38"/>
      <c r="F118" s="29"/>
      <c r="G118" s="94">
        <f>SUM(G119)</f>
        <v>325</v>
      </c>
      <c r="H118" s="94">
        <f>SUM(H119)</f>
        <v>100.5</v>
      </c>
      <c r="I118" s="94">
        <f t="shared" si="3"/>
        <v>30.923076923076927</v>
      </c>
    </row>
    <row r="119" spans="1:9" ht="35.25" customHeight="1" outlineLevel="2">
      <c r="A119" s="78" t="s">
        <v>189</v>
      </c>
      <c r="B119" s="18" t="s">
        <v>46</v>
      </c>
      <c r="C119" s="18" t="s">
        <v>64</v>
      </c>
      <c r="D119" s="18" t="s">
        <v>17</v>
      </c>
      <c r="E119" s="38">
        <v>0</v>
      </c>
      <c r="F119" s="29"/>
      <c r="G119" s="94">
        <f>SUM(G120)</f>
        <v>325</v>
      </c>
      <c r="H119" s="94">
        <f>SUM(H120)</f>
        <v>100.5</v>
      </c>
      <c r="I119" s="94">
        <f t="shared" si="3"/>
        <v>30.923076923076927</v>
      </c>
    </row>
    <row r="120" spans="1:9" ht="31.5" outlineLevel="3">
      <c r="A120" s="78" t="s">
        <v>117</v>
      </c>
      <c r="B120" s="18" t="s">
        <v>46</v>
      </c>
      <c r="C120" s="18" t="s">
        <v>64</v>
      </c>
      <c r="D120" s="18" t="s">
        <v>17</v>
      </c>
      <c r="E120" s="38">
        <v>0</v>
      </c>
      <c r="F120" s="29">
        <v>200</v>
      </c>
      <c r="G120" s="94">
        <f>100+225</f>
        <v>325</v>
      </c>
      <c r="H120" s="94">
        <v>100.5</v>
      </c>
      <c r="I120" s="94">
        <f t="shared" si="3"/>
        <v>30.923076923076927</v>
      </c>
    </row>
    <row r="121" spans="1:9" ht="31.5" outlineLevel="3">
      <c r="A121" s="78" t="s">
        <v>63</v>
      </c>
      <c r="B121" s="18" t="s">
        <v>46</v>
      </c>
      <c r="C121" s="18" t="s">
        <v>64</v>
      </c>
      <c r="D121" s="18"/>
      <c r="E121" s="38"/>
      <c r="F121" s="29"/>
      <c r="G121" s="94">
        <f>SUM(G122)</f>
        <v>2630</v>
      </c>
      <c r="H121" s="94">
        <f>SUM(H122)</f>
        <v>137.49473</v>
      </c>
      <c r="I121" s="94">
        <f t="shared" si="3"/>
        <v>5.227936501901141</v>
      </c>
    </row>
    <row r="122" spans="1:9" ht="33.75" customHeight="1" outlineLevel="3">
      <c r="A122" s="78" t="s">
        <v>189</v>
      </c>
      <c r="B122" s="18" t="s">
        <v>46</v>
      </c>
      <c r="C122" s="18" t="s">
        <v>64</v>
      </c>
      <c r="D122" s="18" t="s">
        <v>17</v>
      </c>
      <c r="E122" s="38">
        <v>0</v>
      </c>
      <c r="F122" s="29"/>
      <c r="G122" s="94">
        <f>SUM(G123)</f>
        <v>2630</v>
      </c>
      <c r="H122" s="94">
        <f>SUM(H123)</f>
        <v>137.49473</v>
      </c>
      <c r="I122" s="94">
        <f t="shared" si="3"/>
        <v>5.227936501901141</v>
      </c>
    </row>
    <row r="123" spans="1:9" ht="31.5" outlineLevel="3">
      <c r="A123" s="78" t="s">
        <v>117</v>
      </c>
      <c r="B123" s="18" t="s">
        <v>46</v>
      </c>
      <c r="C123" s="18" t="s">
        <v>64</v>
      </c>
      <c r="D123" s="18" t="s">
        <v>17</v>
      </c>
      <c r="E123" s="38">
        <v>0</v>
      </c>
      <c r="F123" s="29">
        <v>200</v>
      </c>
      <c r="G123" s="94">
        <f>2630</f>
        <v>2630</v>
      </c>
      <c r="H123" s="94">
        <v>137.49473</v>
      </c>
      <c r="I123" s="94">
        <f t="shared" si="3"/>
        <v>5.227936501901141</v>
      </c>
    </row>
    <row r="124" spans="1:9" ht="15.75" outlineLevel="3">
      <c r="A124" s="78" t="s">
        <v>67</v>
      </c>
      <c r="B124" s="18" t="s">
        <v>46</v>
      </c>
      <c r="C124" s="18" t="s">
        <v>68</v>
      </c>
      <c r="D124" s="18"/>
      <c r="E124" s="38"/>
      <c r="F124" s="29"/>
      <c r="G124" s="94">
        <f>SUM(G125+G129)</f>
        <v>18937.1</v>
      </c>
      <c r="H124" s="94">
        <f>SUM(H125+H129)</f>
        <v>5196.02107</v>
      </c>
      <c r="I124" s="94">
        <f t="shared" si="3"/>
        <v>27.438314578261718</v>
      </c>
    </row>
    <row r="125" spans="1:9" ht="15.75" outlineLevel="3">
      <c r="A125" s="78" t="s">
        <v>193</v>
      </c>
      <c r="B125" s="18" t="s">
        <v>46</v>
      </c>
      <c r="C125" s="18" t="s">
        <v>194</v>
      </c>
      <c r="D125" s="18"/>
      <c r="E125" s="38"/>
      <c r="F125" s="29"/>
      <c r="G125" s="94">
        <f aca="true" t="shared" si="6" ref="G125:H127">SUM(G126)</f>
        <v>0</v>
      </c>
      <c r="H125" s="94">
        <f t="shared" si="6"/>
        <v>0</v>
      </c>
      <c r="I125" s="94">
        <v>0</v>
      </c>
    </row>
    <row r="126" spans="1:9" ht="49.5" customHeight="1" outlineLevel="3">
      <c r="A126" s="78" t="s">
        <v>260</v>
      </c>
      <c r="B126" s="18" t="s">
        <v>46</v>
      </c>
      <c r="C126" s="18" t="s">
        <v>194</v>
      </c>
      <c r="D126" s="18" t="s">
        <v>6</v>
      </c>
      <c r="E126" s="38">
        <v>0</v>
      </c>
      <c r="F126" s="29"/>
      <c r="G126" s="94">
        <f t="shared" si="6"/>
        <v>0</v>
      </c>
      <c r="H126" s="94">
        <f t="shared" si="6"/>
        <v>0</v>
      </c>
      <c r="I126" s="94">
        <v>0</v>
      </c>
    </row>
    <row r="127" spans="1:9" ht="64.5" customHeight="1" outlineLevel="3">
      <c r="A127" s="78" t="s">
        <v>233</v>
      </c>
      <c r="B127" s="18" t="s">
        <v>46</v>
      </c>
      <c r="C127" s="18" t="s">
        <v>194</v>
      </c>
      <c r="D127" s="18" t="s">
        <v>6</v>
      </c>
      <c r="E127" s="38">
        <v>1</v>
      </c>
      <c r="F127" s="29"/>
      <c r="G127" s="94">
        <f t="shared" si="6"/>
        <v>0</v>
      </c>
      <c r="H127" s="94">
        <f t="shared" si="6"/>
        <v>0</v>
      </c>
      <c r="I127" s="94">
        <v>0</v>
      </c>
    </row>
    <row r="128" spans="1:9" ht="15.75" outlineLevel="3">
      <c r="A128" s="78" t="s">
        <v>192</v>
      </c>
      <c r="B128" s="18" t="s">
        <v>46</v>
      </c>
      <c r="C128" s="18" t="s">
        <v>194</v>
      </c>
      <c r="D128" s="18" t="s">
        <v>6</v>
      </c>
      <c r="E128" s="38">
        <v>1</v>
      </c>
      <c r="F128" s="29">
        <v>500</v>
      </c>
      <c r="G128" s="94">
        <v>0</v>
      </c>
      <c r="H128" s="94">
        <v>0</v>
      </c>
      <c r="I128" s="94">
        <v>0</v>
      </c>
    </row>
    <row r="129" spans="1:9" ht="15.75" outlineLevel="3">
      <c r="A129" s="78" t="s">
        <v>65</v>
      </c>
      <c r="B129" s="18" t="s">
        <v>46</v>
      </c>
      <c r="C129" s="18" t="s">
        <v>69</v>
      </c>
      <c r="D129" s="18"/>
      <c r="E129" s="38"/>
      <c r="F129" s="29"/>
      <c r="G129" s="94">
        <f>SUM(G130+G140+G142)</f>
        <v>18937.1</v>
      </c>
      <c r="H129" s="94">
        <f>SUM(H130+H140+H142)</f>
        <v>5196.02107</v>
      </c>
      <c r="I129" s="94">
        <f t="shared" si="3"/>
        <v>27.438314578261718</v>
      </c>
    </row>
    <row r="130" spans="1:9" ht="48.75" customHeight="1" outlineLevel="1">
      <c r="A130" s="78" t="s">
        <v>260</v>
      </c>
      <c r="B130" s="18" t="s">
        <v>46</v>
      </c>
      <c r="C130" s="18" t="s">
        <v>69</v>
      </c>
      <c r="D130" s="18" t="s">
        <v>6</v>
      </c>
      <c r="E130" s="38">
        <v>0</v>
      </c>
      <c r="F130" s="29"/>
      <c r="G130" s="94">
        <f>SUM(G131+G134+G137)</f>
        <v>18937.1</v>
      </c>
      <c r="H130" s="94">
        <f>SUM(H131+H134+H137)</f>
        <v>5196.02107</v>
      </c>
      <c r="I130" s="94">
        <f t="shared" si="3"/>
        <v>27.438314578261718</v>
      </c>
    </row>
    <row r="131" spans="1:9" ht="64.5" customHeight="1" outlineLevel="1">
      <c r="A131" s="78" t="s">
        <v>233</v>
      </c>
      <c r="B131" s="18" t="s">
        <v>46</v>
      </c>
      <c r="C131" s="18" t="s">
        <v>69</v>
      </c>
      <c r="D131" s="18" t="s">
        <v>6</v>
      </c>
      <c r="E131" s="38">
        <v>1</v>
      </c>
      <c r="F131" s="29"/>
      <c r="G131" s="94">
        <f>SUM(G132:G133)</f>
        <v>6737.1</v>
      </c>
      <c r="H131" s="94">
        <f>SUM(H132:H133)</f>
        <v>5196.02107</v>
      </c>
      <c r="I131" s="94">
        <f t="shared" si="3"/>
        <v>77.12548529782843</v>
      </c>
    </row>
    <row r="132" spans="1:9" ht="33.75" customHeight="1" outlineLevel="1">
      <c r="A132" s="78" t="s">
        <v>117</v>
      </c>
      <c r="B132" s="18" t="s">
        <v>46</v>
      </c>
      <c r="C132" s="18" t="s">
        <v>69</v>
      </c>
      <c r="D132" s="18" t="s">
        <v>6</v>
      </c>
      <c r="E132" s="38">
        <v>1</v>
      </c>
      <c r="F132" s="29">
        <v>200</v>
      </c>
      <c r="G132" s="94">
        <f>410+41.1</f>
        <v>451.1</v>
      </c>
      <c r="H132" s="94">
        <v>323.27107</v>
      </c>
      <c r="I132" s="94">
        <f t="shared" si="3"/>
        <v>71.66283972511638</v>
      </c>
    </row>
    <row r="133" spans="1:9" ht="16.5" customHeight="1" outlineLevel="1">
      <c r="A133" s="78" t="s">
        <v>192</v>
      </c>
      <c r="B133" s="18" t="s">
        <v>46</v>
      </c>
      <c r="C133" s="18" t="s">
        <v>69</v>
      </c>
      <c r="D133" s="18" t="s">
        <v>6</v>
      </c>
      <c r="E133" s="38">
        <v>1</v>
      </c>
      <c r="F133" s="29">
        <v>500</v>
      </c>
      <c r="G133" s="94">
        <f>5653+633</f>
        <v>6286</v>
      </c>
      <c r="H133" s="94">
        <v>4872.75</v>
      </c>
      <c r="I133" s="94">
        <f t="shared" si="3"/>
        <v>77.51749920458161</v>
      </c>
    </row>
    <row r="134" spans="1:9" ht="36.75" customHeight="1" outlineLevel="1">
      <c r="A134" s="78" t="s">
        <v>271</v>
      </c>
      <c r="B134" s="18" t="s">
        <v>46</v>
      </c>
      <c r="C134" s="18" t="s">
        <v>69</v>
      </c>
      <c r="D134" s="18" t="s">
        <v>6</v>
      </c>
      <c r="E134" s="38">
        <v>2</v>
      </c>
      <c r="F134" s="29"/>
      <c r="G134" s="94">
        <f>SUM(G135)</f>
        <v>0</v>
      </c>
      <c r="H134" s="94">
        <f>SUM(H135)</f>
        <v>0</v>
      </c>
      <c r="I134" s="94">
        <v>0</v>
      </c>
    </row>
    <row r="135" spans="1:9" ht="29.25" customHeight="1" outlineLevel="1">
      <c r="A135" s="78" t="s">
        <v>272</v>
      </c>
      <c r="B135" s="18" t="s">
        <v>46</v>
      </c>
      <c r="C135" s="18" t="s">
        <v>69</v>
      </c>
      <c r="D135" s="18" t="s">
        <v>6</v>
      </c>
      <c r="E135" s="38">
        <v>2</v>
      </c>
      <c r="F135" s="29">
        <v>400</v>
      </c>
      <c r="G135" s="94">
        <v>0</v>
      </c>
      <c r="H135" s="94">
        <v>0</v>
      </c>
      <c r="I135" s="94">
        <v>0</v>
      </c>
    </row>
    <row r="136" spans="1:9" ht="29.25" customHeight="1" outlineLevel="1">
      <c r="A136" s="78" t="s">
        <v>117</v>
      </c>
      <c r="B136" s="18" t="s">
        <v>46</v>
      </c>
      <c r="C136" s="18" t="s">
        <v>69</v>
      </c>
      <c r="D136" s="18" t="s">
        <v>6</v>
      </c>
      <c r="E136" s="38">
        <v>2</v>
      </c>
      <c r="F136" s="29">
        <v>400</v>
      </c>
      <c r="G136" s="94">
        <v>0</v>
      </c>
      <c r="H136" s="94">
        <v>0</v>
      </c>
      <c r="I136" s="94">
        <v>0</v>
      </c>
    </row>
    <row r="137" spans="1:9" ht="52.5" customHeight="1" outlineLevel="1">
      <c r="A137" s="78" t="s">
        <v>277</v>
      </c>
      <c r="B137" s="18" t="s">
        <v>46</v>
      </c>
      <c r="C137" s="18" t="s">
        <v>69</v>
      </c>
      <c r="D137" s="18" t="s">
        <v>6</v>
      </c>
      <c r="E137" s="38">
        <v>3</v>
      </c>
      <c r="F137" s="29"/>
      <c r="G137" s="94">
        <f>SUM(G138:G139)</f>
        <v>12200</v>
      </c>
      <c r="H137" s="94">
        <f>SUM(H138:H139)</f>
        <v>0</v>
      </c>
      <c r="I137" s="94">
        <f t="shared" si="3"/>
        <v>0</v>
      </c>
    </row>
    <row r="138" spans="1:9" ht="32.25" customHeight="1" outlineLevel="1">
      <c r="A138" s="78" t="s">
        <v>275</v>
      </c>
      <c r="B138" s="18" t="s">
        <v>46</v>
      </c>
      <c r="C138" s="18" t="s">
        <v>69</v>
      </c>
      <c r="D138" s="18" t="s">
        <v>6</v>
      </c>
      <c r="E138" s="38">
        <v>3</v>
      </c>
      <c r="F138" s="29">
        <v>200</v>
      </c>
      <c r="G138" s="94">
        <f>606.9-606.9</f>
        <v>0</v>
      </c>
      <c r="H138" s="94">
        <v>0</v>
      </c>
      <c r="I138" s="94">
        <v>0</v>
      </c>
    </row>
    <row r="139" spans="1:9" ht="35.25" customHeight="1" outlineLevel="1">
      <c r="A139" s="78" t="s">
        <v>195</v>
      </c>
      <c r="B139" s="18" t="s">
        <v>46</v>
      </c>
      <c r="C139" s="18" t="s">
        <v>69</v>
      </c>
      <c r="D139" s="18" t="s">
        <v>6</v>
      </c>
      <c r="E139" s="38">
        <v>3</v>
      </c>
      <c r="F139" s="29">
        <v>400</v>
      </c>
      <c r="G139" s="94">
        <f>12000+200</f>
        <v>12200</v>
      </c>
      <c r="H139" s="94">
        <v>0</v>
      </c>
      <c r="I139" s="94">
        <f aca="true" t="shared" si="7" ref="I139:I202">SUM(H139/G139)*100</f>
        <v>0</v>
      </c>
    </row>
    <row r="140" spans="1:9" ht="48.75" customHeight="1" outlineLevel="2">
      <c r="A140" s="78" t="s">
        <v>268</v>
      </c>
      <c r="B140" s="18" t="s">
        <v>46</v>
      </c>
      <c r="C140" s="18" t="s">
        <v>69</v>
      </c>
      <c r="D140" s="18" t="s">
        <v>234</v>
      </c>
      <c r="E140" s="38">
        <v>0</v>
      </c>
      <c r="F140" s="29"/>
      <c r="G140" s="94">
        <f>SUM(G141)</f>
        <v>0</v>
      </c>
      <c r="H140" s="94">
        <f>SUM(H141)</f>
        <v>0</v>
      </c>
      <c r="I140" s="94">
        <v>0</v>
      </c>
    </row>
    <row r="141" spans="1:9" ht="30.75" customHeight="1" outlineLevel="5">
      <c r="A141" s="78" t="s">
        <v>195</v>
      </c>
      <c r="B141" s="18" t="s">
        <v>46</v>
      </c>
      <c r="C141" s="18" t="s">
        <v>69</v>
      </c>
      <c r="D141" s="18" t="s">
        <v>234</v>
      </c>
      <c r="E141" s="38">
        <v>0</v>
      </c>
      <c r="F141" s="29">
        <v>400</v>
      </c>
      <c r="G141" s="94">
        <f>6.5-6.5</f>
        <v>0</v>
      </c>
      <c r="H141" s="94">
        <v>0</v>
      </c>
      <c r="I141" s="94">
        <v>0</v>
      </c>
    </row>
    <row r="142" spans="1:9" ht="80.25" customHeight="1" outlineLevel="2">
      <c r="A142" s="78" t="s">
        <v>66</v>
      </c>
      <c r="B142" s="18" t="s">
        <v>46</v>
      </c>
      <c r="C142" s="18" t="s">
        <v>69</v>
      </c>
      <c r="D142" s="18"/>
      <c r="E142" s="38"/>
      <c r="F142" s="29"/>
      <c r="G142" s="94">
        <f>SUM(G143)</f>
        <v>0</v>
      </c>
      <c r="H142" s="94">
        <f>SUM(H143)</f>
        <v>0</v>
      </c>
      <c r="I142" s="94">
        <v>0</v>
      </c>
    </row>
    <row r="143" spans="1:9" ht="36.75" customHeight="1" outlineLevel="2">
      <c r="A143" s="78" t="s">
        <v>189</v>
      </c>
      <c r="B143" s="18" t="s">
        <v>46</v>
      </c>
      <c r="C143" s="18" t="s">
        <v>69</v>
      </c>
      <c r="D143" s="18" t="s">
        <v>17</v>
      </c>
      <c r="E143" s="38">
        <v>0</v>
      </c>
      <c r="F143" s="29"/>
      <c r="G143" s="94">
        <f>SUM(G144)</f>
        <v>0</v>
      </c>
      <c r="H143" s="94">
        <f>SUM(H144)</f>
        <v>0</v>
      </c>
      <c r="I143" s="94">
        <v>0</v>
      </c>
    </row>
    <row r="144" spans="1:9" ht="15.75" outlineLevel="2">
      <c r="A144" s="78" t="s">
        <v>170</v>
      </c>
      <c r="B144" s="18" t="s">
        <v>46</v>
      </c>
      <c r="C144" s="18" t="s">
        <v>69</v>
      </c>
      <c r="D144" s="18" t="s">
        <v>17</v>
      </c>
      <c r="E144" s="38">
        <v>0</v>
      </c>
      <c r="F144" s="29">
        <v>800</v>
      </c>
      <c r="G144" s="94">
        <f>132.3-132.3</f>
        <v>0</v>
      </c>
      <c r="H144" s="94">
        <v>0</v>
      </c>
      <c r="I144" s="94">
        <v>0</v>
      </c>
    </row>
    <row r="145" spans="1:9" ht="15.75" outlineLevel="5">
      <c r="A145" s="78" t="s">
        <v>70</v>
      </c>
      <c r="B145" s="18" t="s">
        <v>46</v>
      </c>
      <c r="C145" s="18" t="s">
        <v>134</v>
      </c>
      <c r="D145" s="18"/>
      <c r="E145" s="38"/>
      <c r="F145" s="29"/>
      <c r="G145" s="94">
        <f>SUM(G147)</f>
        <v>50</v>
      </c>
      <c r="H145" s="94">
        <f>SUM(H147)</f>
        <v>0</v>
      </c>
      <c r="I145" s="94">
        <f t="shared" si="7"/>
        <v>0</v>
      </c>
    </row>
    <row r="146" spans="1:9" ht="53.25" customHeight="1" outlineLevel="5">
      <c r="A146" s="78" t="s">
        <v>224</v>
      </c>
      <c r="B146" s="18" t="s">
        <v>46</v>
      </c>
      <c r="C146" s="18" t="s">
        <v>73</v>
      </c>
      <c r="D146" s="18" t="s">
        <v>16</v>
      </c>
      <c r="E146" s="38">
        <v>0</v>
      </c>
      <c r="F146" s="29"/>
      <c r="G146" s="94">
        <f>SUM(G147)</f>
        <v>50</v>
      </c>
      <c r="H146" s="94">
        <f>SUM(H147)</f>
        <v>0</v>
      </c>
      <c r="I146" s="94">
        <f t="shared" si="7"/>
        <v>0</v>
      </c>
    </row>
    <row r="147" spans="1:9" ht="31.5" customHeight="1" outlineLevel="5">
      <c r="A147" s="78" t="s">
        <v>117</v>
      </c>
      <c r="B147" s="18" t="s">
        <v>46</v>
      </c>
      <c r="C147" s="18" t="s">
        <v>73</v>
      </c>
      <c r="D147" s="18" t="s">
        <v>16</v>
      </c>
      <c r="E147" s="38">
        <v>0</v>
      </c>
      <c r="F147" s="29">
        <v>200</v>
      </c>
      <c r="G147" s="94">
        <v>50</v>
      </c>
      <c r="H147" s="94">
        <v>0</v>
      </c>
      <c r="I147" s="94">
        <f t="shared" si="7"/>
        <v>0</v>
      </c>
    </row>
    <row r="148" spans="1:9" ht="15.75" outlineLevel="5">
      <c r="A148" s="78" t="s">
        <v>74</v>
      </c>
      <c r="B148" s="18" t="s">
        <v>46</v>
      </c>
      <c r="C148" s="18" t="s">
        <v>77</v>
      </c>
      <c r="D148" s="18"/>
      <c r="E148" s="38"/>
      <c r="F148" s="29"/>
      <c r="G148" s="94">
        <f>SUM(G149+G165+G214+G239+G201)</f>
        <v>166595.67148000002</v>
      </c>
      <c r="H148" s="94">
        <f>SUM(H149+H165+H214+H239+H201)</f>
        <v>142028.88823000004</v>
      </c>
      <c r="I148" s="94">
        <f t="shared" si="7"/>
        <v>85.25364853014848</v>
      </c>
    </row>
    <row r="149" spans="1:9" ht="15.75" outlineLevel="5">
      <c r="A149" s="78" t="s">
        <v>75</v>
      </c>
      <c r="B149" s="18" t="s">
        <v>46</v>
      </c>
      <c r="C149" s="18" t="s">
        <v>76</v>
      </c>
      <c r="D149" s="18"/>
      <c r="E149" s="38"/>
      <c r="F149" s="29"/>
      <c r="G149" s="94">
        <f>SUM(G150+G160+G158+G156)</f>
        <v>27141.841879999993</v>
      </c>
      <c r="H149" s="94">
        <f>SUM(H150+H160+H158+H156)</f>
        <v>23553.775659999996</v>
      </c>
      <c r="I149" s="94">
        <f t="shared" si="7"/>
        <v>86.78031418846362</v>
      </c>
    </row>
    <row r="150" spans="1:9" ht="52.5" customHeight="1" outlineLevel="5">
      <c r="A150" s="78" t="s">
        <v>260</v>
      </c>
      <c r="B150" s="18" t="s">
        <v>46</v>
      </c>
      <c r="C150" s="18" t="s">
        <v>76</v>
      </c>
      <c r="D150" s="18" t="s">
        <v>6</v>
      </c>
      <c r="E150" s="38">
        <v>0</v>
      </c>
      <c r="F150" s="29"/>
      <c r="G150" s="94">
        <f>SUM(G151+G154)</f>
        <v>850</v>
      </c>
      <c r="H150" s="94">
        <f>SUM(H151+H154)</f>
        <v>696.98516</v>
      </c>
      <c r="I150" s="94">
        <f t="shared" si="7"/>
        <v>81.99825411764705</v>
      </c>
    </row>
    <row r="151" spans="1:9" ht="48" customHeight="1" outlineLevel="5">
      <c r="A151" s="78" t="s">
        <v>280</v>
      </c>
      <c r="B151" s="18" t="s">
        <v>46</v>
      </c>
      <c r="C151" s="18" t="s">
        <v>76</v>
      </c>
      <c r="D151" s="18" t="s">
        <v>6</v>
      </c>
      <c r="E151" s="38">
        <v>3</v>
      </c>
      <c r="F151" s="29"/>
      <c r="G151" s="94">
        <f>SUM(G152:G153)</f>
        <v>375.3</v>
      </c>
      <c r="H151" s="94">
        <f>SUM(H152:H153)</f>
        <v>375.17078</v>
      </c>
      <c r="I151" s="94">
        <f t="shared" si="7"/>
        <v>99.96556887823074</v>
      </c>
    </row>
    <row r="152" spans="1:9" ht="33.75" customHeight="1" outlineLevel="5">
      <c r="A152" s="78" t="s">
        <v>195</v>
      </c>
      <c r="B152" s="18" t="s">
        <v>46</v>
      </c>
      <c r="C152" s="18" t="s">
        <v>76</v>
      </c>
      <c r="D152" s="18" t="s">
        <v>6</v>
      </c>
      <c r="E152" s="38">
        <v>3</v>
      </c>
      <c r="F152" s="29">
        <v>400</v>
      </c>
      <c r="G152" s="94">
        <f>797.6+2966.2-797.6-2966.2</f>
        <v>0</v>
      </c>
      <c r="H152" s="94">
        <v>0</v>
      </c>
      <c r="I152" s="94">
        <v>0</v>
      </c>
    </row>
    <row r="153" spans="1:9" ht="32.25" customHeight="1" outlineLevel="5">
      <c r="A153" s="78" t="s">
        <v>190</v>
      </c>
      <c r="B153" s="18" t="s">
        <v>46</v>
      </c>
      <c r="C153" s="18" t="s">
        <v>76</v>
      </c>
      <c r="D153" s="18" t="s">
        <v>6</v>
      </c>
      <c r="E153" s="38">
        <v>3</v>
      </c>
      <c r="F153" s="29">
        <v>600</v>
      </c>
      <c r="G153" s="94">
        <f>610-550+250+20+45.3</f>
        <v>375.3</v>
      </c>
      <c r="H153" s="94">
        <v>375.17078</v>
      </c>
      <c r="I153" s="94">
        <f t="shared" si="7"/>
        <v>99.96556887823074</v>
      </c>
    </row>
    <row r="154" spans="1:9" ht="47.25" outlineLevel="5">
      <c r="A154" s="78" t="s">
        <v>236</v>
      </c>
      <c r="B154" s="18" t="s">
        <v>46</v>
      </c>
      <c r="C154" s="18" t="s">
        <v>76</v>
      </c>
      <c r="D154" s="18" t="s">
        <v>6</v>
      </c>
      <c r="E154" s="38">
        <v>4</v>
      </c>
      <c r="F154" s="29"/>
      <c r="G154" s="94">
        <f>SUM(G155:G155)</f>
        <v>474.7</v>
      </c>
      <c r="H154" s="94">
        <f>SUM(H155:H155)</f>
        <v>321.81438</v>
      </c>
      <c r="I154" s="94">
        <f t="shared" si="7"/>
        <v>67.79321255529808</v>
      </c>
    </row>
    <row r="155" spans="1:9" ht="34.5" customHeight="1" outlineLevel="5">
      <c r="A155" s="78" t="s">
        <v>190</v>
      </c>
      <c r="B155" s="18" t="s">
        <v>46</v>
      </c>
      <c r="C155" s="18" t="s">
        <v>76</v>
      </c>
      <c r="D155" s="18" t="s">
        <v>6</v>
      </c>
      <c r="E155" s="38">
        <v>4</v>
      </c>
      <c r="F155" s="29">
        <v>600</v>
      </c>
      <c r="G155" s="94">
        <f>440+100-20-45.3</f>
        <v>474.7</v>
      </c>
      <c r="H155" s="94">
        <v>321.81438</v>
      </c>
      <c r="I155" s="94">
        <f t="shared" si="7"/>
        <v>67.79321255529808</v>
      </c>
    </row>
    <row r="156" spans="1:9" ht="50.25" customHeight="1" outlineLevel="5">
      <c r="A156" s="78" t="s">
        <v>322</v>
      </c>
      <c r="B156" s="18" t="s">
        <v>46</v>
      </c>
      <c r="C156" s="18" t="s">
        <v>76</v>
      </c>
      <c r="D156" s="18" t="s">
        <v>321</v>
      </c>
      <c r="E156" s="38">
        <v>0</v>
      </c>
      <c r="F156" s="29"/>
      <c r="G156" s="94">
        <f>SUM(G157)</f>
        <v>175</v>
      </c>
      <c r="H156" s="94">
        <f>SUM(H157)</f>
        <v>175</v>
      </c>
      <c r="I156" s="94">
        <f t="shared" si="7"/>
        <v>100</v>
      </c>
    </row>
    <row r="157" spans="1:9" ht="34.5" customHeight="1" outlineLevel="5">
      <c r="A157" s="78" t="s">
        <v>190</v>
      </c>
      <c r="B157" s="18" t="s">
        <v>46</v>
      </c>
      <c r="C157" s="18" t="s">
        <v>76</v>
      </c>
      <c r="D157" s="18" t="s">
        <v>321</v>
      </c>
      <c r="E157" s="38">
        <v>0</v>
      </c>
      <c r="F157" s="29">
        <v>600</v>
      </c>
      <c r="G157" s="94">
        <f>160+15</f>
        <v>175</v>
      </c>
      <c r="H157" s="94">
        <v>175</v>
      </c>
      <c r="I157" s="94">
        <f t="shared" si="7"/>
        <v>100</v>
      </c>
    </row>
    <row r="158" spans="1:9" ht="141.75" customHeight="1" outlineLevel="5">
      <c r="A158" s="78" t="s">
        <v>281</v>
      </c>
      <c r="B158" s="18" t="s">
        <v>46</v>
      </c>
      <c r="C158" s="18" t="s">
        <v>76</v>
      </c>
      <c r="D158" s="18" t="s">
        <v>282</v>
      </c>
      <c r="E158" s="38">
        <v>0</v>
      </c>
      <c r="F158" s="29"/>
      <c r="G158" s="94">
        <f>SUM(G159:G159)</f>
        <v>70.622</v>
      </c>
      <c r="H158" s="94">
        <f>SUM(H159:H159)</f>
        <v>0</v>
      </c>
      <c r="I158" s="94">
        <f t="shared" si="7"/>
        <v>0</v>
      </c>
    </row>
    <row r="159" spans="1:9" ht="34.5" customHeight="1" outlineLevel="5">
      <c r="A159" s="78" t="s">
        <v>190</v>
      </c>
      <c r="B159" s="18" t="s">
        <v>46</v>
      </c>
      <c r="C159" s="18" t="s">
        <v>76</v>
      </c>
      <c r="D159" s="18" t="s">
        <v>282</v>
      </c>
      <c r="E159" s="38">
        <v>0</v>
      </c>
      <c r="F159" s="29">
        <v>600</v>
      </c>
      <c r="G159" s="94">
        <f>34.4+36.222</f>
        <v>70.622</v>
      </c>
      <c r="H159" s="94">
        <v>0</v>
      </c>
      <c r="I159" s="94">
        <f t="shared" si="7"/>
        <v>0</v>
      </c>
    </row>
    <row r="160" spans="1:9" ht="64.5" customHeight="1" outlineLevel="1">
      <c r="A160" s="78" t="s">
        <v>227</v>
      </c>
      <c r="B160" s="18" t="s">
        <v>46</v>
      </c>
      <c r="C160" s="18" t="s">
        <v>76</v>
      </c>
      <c r="D160" s="18" t="s">
        <v>22</v>
      </c>
      <c r="E160" s="38">
        <v>0</v>
      </c>
      <c r="F160" s="29"/>
      <c r="G160" s="94">
        <f>SUM(G161:G164)</f>
        <v>26046.219879999993</v>
      </c>
      <c r="H160" s="94">
        <f>SUM(H161:H164)</f>
        <v>22681.790499999996</v>
      </c>
      <c r="I160" s="94">
        <f t="shared" si="7"/>
        <v>87.08284965918057</v>
      </c>
    </row>
    <row r="161" spans="1:9" ht="36" customHeight="1" outlineLevel="2">
      <c r="A161" s="78" t="s">
        <v>190</v>
      </c>
      <c r="B161" s="18" t="s">
        <v>46</v>
      </c>
      <c r="C161" s="18" t="s">
        <v>76</v>
      </c>
      <c r="D161" s="18" t="s">
        <v>22</v>
      </c>
      <c r="E161" s="38">
        <v>0</v>
      </c>
      <c r="F161" s="29">
        <v>600</v>
      </c>
      <c r="G161" s="94">
        <f>12400+91.6+1419.8+250</f>
        <v>14161.4</v>
      </c>
      <c r="H161" s="94">
        <v>11420.07448</v>
      </c>
      <c r="I161" s="94">
        <f t="shared" si="7"/>
        <v>80.64227039699465</v>
      </c>
    </row>
    <row r="162" spans="1:9" ht="49.5" customHeight="1" outlineLevel="3">
      <c r="A162" s="78" t="s">
        <v>174</v>
      </c>
      <c r="B162" s="18" t="s">
        <v>46</v>
      </c>
      <c r="C162" s="18" t="s">
        <v>76</v>
      </c>
      <c r="D162" s="18" t="s">
        <v>22</v>
      </c>
      <c r="E162" s="38">
        <v>0</v>
      </c>
      <c r="F162" s="29">
        <v>600</v>
      </c>
      <c r="G162" s="94">
        <f>14645.9-3655.6+182.9-244.82407+703.5</f>
        <v>11631.875929999998</v>
      </c>
      <c r="H162" s="94">
        <f>11253.59614-H163</f>
        <v>11008.772069999999</v>
      </c>
      <c r="I162" s="94">
        <f t="shared" si="7"/>
        <v>94.6431352625337</v>
      </c>
    </row>
    <row r="163" spans="1:9" ht="66" customHeight="1" outlineLevel="3">
      <c r="A163" s="78" t="s">
        <v>290</v>
      </c>
      <c r="B163" s="18" t="s">
        <v>46</v>
      </c>
      <c r="C163" s="18" t="s">
        <v>76</v>
      </c>
      <c r="D163" s="18" t="s">
        <v>22</v>
      </c>
      <c r="E163" s="38">
        <v>0</v>
      </c>
      <c r="F163" s="29">
        <v>600</v>
      </c>
      <c r="G163" s="94">
        <f>244.82407</f>
        <v>244.82407</v>
      </c>
      <c r="H163" s="94">
        <v>244.82407</v>
      </c>
      <c r="I163" s="94">
        <f t="shared" si="7"/>
        <v>100</v>
      </c>
    </row>
    <row r="164" spans="1:9" ht="36.75" customHeight="1">
      <c r="A164" s="78" t="s">
        <v>196</v>
      </c>
      <c r="B164" s="18" t="s">
        <v>46</v>
      </c>
      <c r="C164" s="18" t="s">
        <v>76</v>
      </c>
      <c r="D164" s="18" t="s">
        <v>22</v>
      </c>
      <c r="E164" s="38">
        <v>0</v>
      </c>
      <c r="F164" s="29">
        <v>600</v>
      </c>
      <c r="G164" s="94">
        <f>15-6.88012</f>
        <v>8.11988</v>
      </c>
      <c r="H164" s="94">
        <v>8.11988</v>
      </c>
      <c r="I164" s="94">
        <f t="shared" si="7"/>
        <v>100</v>
      </c>
    </row>
    <row r="165" spans="1:9" ht="15.75" outlineLevel="5">
      <c r="A165" s="78" t="s">
        <v>83</v>
      </c>
      <c r="B165" s="18" t="s">
        <v>46</v>
      </c>
      <c r="C165" s="18" t="s">
        <v>78</v>
      </c>
      <c r="D165" s="18"/>
      <c r="E165" s="38"/>
      <c r="F165" s="29"/>
      <c r="G165" s="101">
        <f>SUM(G166)</f>
        <v>119336.47312</v>
      </c>
      <c r="H165" s="101">
        <f>SUM(H166)</f>
        <v>103495.89012000003</v>
      </c>
      <c r="I165" s="94">
        <f t="shared" si="7"/>
        <v>86.7261176856875</v>
      </c>
    </row>
    <row r="166" spans="1:9" ht="31.5" outlineLevel="5">
      <c r="A166" s="78" t="s">
        <v>79</v>
      </c>
      <c r="B166" s="18" t="s">
        <v>46</v>
      </c>
      <c r="C166" s="18" t="s">
        <v>78</v>
      </c>
      <c r="D166" s="18"/>
      <c r="E166" s="38"/>
      <c r="F166" s="29"/>
      <c r="G166" s="94">
        <f>SUM(G167+G176+G184+G182+G178+G173)</f>
        <v>119336.47312</v>
      </c>
      <c r="H166" s="94">
        <f>SUM(H167+H176+H184+H182+H178+H173)</f>
        <v>103495.89012000003</v>
      </c>
      <c r="I166" s="94">
        <f t="shared" si="7"/>
        <v>86.7261176856875</v>
      </c>
    </row>
    <row r="167" spans="1:9" ht="52.5" customHeight="1" outlineLevel="5">
      <c r="A167" s="78" t="s">
        <v>260</v>
      </c>
      <c r="B167" s="18" t="s">
        <v>46</v>
      </c>
      <c r="C167" s="18" t="s">
        <v>78</v>
      </c>
      <c r="D167" s="18" t="s">
        <v>6</v>
      </c>
      <c r="E167" s="38">
        <v>0</v>
      </c>
      <c r="F167" s="29"/>
      <c r="G167" s="94">
        <f>SUM(G168+G170)</f>
        <v>7613.13</v>
      </c>
      <c r="H167" s="94">
        <f>SUM(H168+H170)</f>
        <v>6385.70853</v>
      </c>
      <c r="I167" s="94">
        <f t="shared" si="7"/>
        <v>83.87757111726714</v>
      </c>
    </row>
    <row r="168" spans="1:9" ht="47.25" customHeight="1" outlineLevel="5">
      <c r="A168" s="78" t="s">
        <v>280</v>
      </c>
      <c r="B168" s="18" t="s">
        <v>46</v>
      </c>
      <c r="C168" s="18" t="s">
        <v>78</v>
      </c>
      <c r="D168" s="18" t="s">
        <v>6</v>
      </c>
      <c r="E168" s="38">
        <v>3</v>
      </c>
      <c r="F168" s="29"/>
      <c r="G168" s="94">
        <f>SUM(G169:G169)</f>
        <v>5393.83</v>
      </c>
      <c r="H168" s="94">
        <f>SUM(H169:H169)</f>
        <v>4501.2385</v>
      </c>
      <c r="I168" s="94">
        <f t="shared" si="7"/>
        <v>83.45161972105166</v>
      </c>
    </row>
    <row r="169" spans="1:9" ht="29.25" customHeight="1" outlineLevel="5">
      <c r="A169" s="78" t="s">
        <v>190</v>
      </c>
      <c r="B169" s="18" t="s">
        <v>46</v>
      </c>
      <c r="C169" s="18" t="s">
        <v>78</v>
      </c>
      <c r="D169" s="18" t="s">
        <v>6</v>
      </c>
      <c r="E169" s="38">
        <v>3</v>
      </c>
      <c r="F169" s="29">
        <v>600</v>
      </c>
      <c r="G169" s="94">
        <f>5440-200-500-500-1049+50+1221.4+8.43+400+69+300+54+100</f>
        <v>5393.83</v>
      </c>
      <c r="H169" s="94">
        <v>4501.2385</v>
      </c>
      <c r="I169" s="94">
        <f t="shared" si="7"/>
        <v>83.45161972105166</v>
      </c>
    </row>
    <row r="170" spans="1:9" ht="47.25" outlineLevel="5">
      <c r="A170" s="78" t="s">
        <v>236</v>
      </c>
      <c r="B170" s="18" t="s">
        <v>46</v>
      </c>
      <c r="C170" s="18" t="s">
        <v>78</v>
      </c>
      <c r="D170" s="18" t="s">
        <v>6</v>
      </c>
      <c r="E170" s="38">
        <v>4</v>
      </c>
      <c r="F170" s="29"/>
      <c r="G170" s="94">
        <f>SUM(G171:G172)</f>
        <v>2219.3</v>
      </c>
      <c r="H170" s="94">
        <f>SUM(H171:H172)</f>
        <v>1884.47003</v>
      </c>
      <c r="I170" s="94">
        <f t="shared" si="7"/>
        <v>84.91281169738205</v>
      </c>
    </row>
    <row r="171" spans="1:9" ht="31.5" outlineLevel="5">
      <c r="A171" s="78" t="s">
        <v>117</v>
      </c>
      <c r="B171" s="18" t="s">
        <v>46</v>
      </c>
      <c r="C171" s="18" t="s">
        <v>78</v>
      </c>
      <c r="D171" s="18" t="s">
        <v>6</v>
      </c>
      <c r="E171" s="38">
        <v>4</v>
      </c>
      <c r="F171" s="29">
        <v>200</v>
      </c>
      <c r="G171" s="94">
        <f>140-30</f>
        <v>110</v>
      </c>
      <c r="H171" s="94">
        <v>33.91469</v>
      </c>
      <c r="I171" s="94">
        <f t="shared" si="7"/>
        <v>30.831536363636364</v>
      </c>
    </row>
    <row r="172" spans="1:9" ht="34.5" customHeight="1" outlineLevel="5">
      <c r="A172" s="78" t="s">
        <v>190</v>
      </c>
      <c r="B172" s="18" t="s">
        <v>46</v>
      </c>
      <c r="C172" s="18" t="s">
        <v>78</v>
      </c>
      <c r="D172" s="18" t="s">
        <v>6</v>
      </c>
      <c r="E172" s="38">
        <v>4</v>
      </c>
      <c r="F172" s="29">
        <v>600</v>
      </c>
      <c r="G172" s="94">
        <f>820+1111.5+177.8</f>
        <v>2109.3</v>
      </c>
      <c r="H172" s="94">
        <v>1850.55534</v>
      </c>
      <c r="I172" s="94">
        <f t="shared" si="7"/>
        <v>87.73315033423408</v>
      </c>
    </row>
    <row r="173" spans="1:9" ht="47.25" customHeight="1" outlineLevel="5">
      <c r="A173" s="78" t="s">
        <v>322</v>
      </c>
      <c r="B173" s="18" t="s">
        <v>46</v>
      </c>
      <c r="C173" s="18" t="s">
        <v>78</v>
      </c>
      <c r="D173" s="18" t="s">
        <v>321</v>
      </c>
      <c r="E173" s="38">
        <v>0</v>
      </c>
      <c r="F173" s="29"/>
      <c r="G173" s="94">
        <f>SUM(G174:G175)</f>
        <v>470</v>
      </c>
      <c r="H173" s="94">
        <f>SUM(H174:H175)</f>
        <v>390</v>
      </c>
      <c r="I173" s="94">
        <f t="shared" si="7"/>
        <v>82.97872340425532</v>
      </c>
    </row>
    <row r="174" spans="1:9" ht="34.5" customHeight="1" outlineLevel="5">
      <c r="A174" s="78" t="s">
        <v>117</v>
      </c>
      <c r="B174" s="18" t="s">
        <v>46</v>
      </c>
      <c r="C174" s="18" t="s">
        <v>78</v>
      </c>
      <c r="D174" s="18" t="s">
        <v>321</v>
      </c>
      <c r="E174" s="38">
        <v>0</v>
      </c>
      <c r="F174" s="29">
        <v>200</v>
      </c>
      <c r="G174" s="94">
        <f>40+25</f>
        <v>65</v>
      </c>
      <c r="H174" s="94">
        <v>65</v>
      </c>
      <c r="I174" s="94">
        <f t="shared" si="7"/>
        <v>100</v>
      </c>
    </row>
    <row r="175" spans="1:9" ht="34.5" customHeight="1" outlineLevel="5">
      <c r="A175" s="78" t="s">
        <v>190</v>
      </c>
      <c r="B175" s="18" t="s">
        <v>46</v>
      </c>
      <c r="C175" s="18" t="s">
        <v>78</v>
      </c>
      <c r="D175" s="18" t="s">
        <v>321</v>
      </c>
      <c r="E175" s="38">
        <v>0</v>
      </c>
      <c r="F175" s="29">
        <v>600</v>
      </c>
      <c r="G175" s="94">
        <f>300+105</f>
        <v>405</v>
      </c>
      <c r="H175" s="94">
        <v>325</v>
      </c>
      <c r="I175" s="94">
        <f t="shared" si="7"/>
        <v>80.24691358024691</v>
      </c>
    </row>
    <row r="176" spans="1:9" ht="66.75" customHeight="1" outlineLevel="5">
      <c r="A176" s="78" t="s">
        <v>257</v>
      </c>
      <c r="B176" s="18" t="s">
        <v>46</v>
      </c>
      <c r="C176" s="18" t="s">
        <v>78</v>
      </c>
      <c r="D176" s="18" t="s">
        <v>20</v>
      </c>
      <c r="E176" s="38">
        <v>0</v>
      </c>
      <c r="F176" s="29"/>
      <c r="G176" s="94">
        <f>SUM(G177)</f>
        <v>0</v>
      </c>
      <c r="H176" s="94">
        <f>SUM(H177)</f>
        <v>0</v>
      </c>
      <c r="I176" s="94">
        <v>0</v>
      </c>
    </row>
    <row r="177" spans="1:9" ht="30" customHeight="1" outlineLevel="5">
      <c r="A177" s="78" t="s">
        <v>190</v>
      </c>
      <c r="B177" s="18" t="s">
        <v>46</v>
      </c>
      <c r="C177" s="18" t="s">
        <v>78</v>
      </c>
      <c r="D177" s="18" t="s">
        <v>20</v>
      </c>
      <c r="E177" s="38">
        <v>0</v>
      </c>
      <c r="F177" s="29">
        <v>600</v>
      </c>
      <c r="G177" s="94">
        <f>100-100</f>
        <v>0</v>
      </c>
      <c r="H177" s="94">
        <v>0</v>
      </c>
      <c r="I177" s="94">
        <v>0</v>
      </c>
    </row>
    <row r="178" spans="1:9" ht="51.75" customHeight="1" outlineLevel="5">
      <c r="A178" s="78" t="s">
        <v>185</v>
      </c>
      <c r="B178" s="18" t="s">
        <v>46</v>
      </c>
      <c r="C178" s="18" t="s">
        <v>78</v>
      </c>
      <c r="D178" s="18" t="s">
        <v>21</v>
      </c>
      <c r="E178" s="38">
        <v>0</v>
      </c>
      <c r="F178" s="29"/>
      <c r="G178" s="94">
        <f>SUM(G179:G181)</f>
        <v>2589.2</v>
      </c>
      <c r="H178" s="94">
        <f>SUM(H179:H181)</f>
        <v>2324.9677300000003</v>
      </c>
      <c r="I178" s="94">
        <f t="shared" si="7"/>
        <v>89.79482967712038</v>
      </c>
    </row>
    <row r="179" spans="1:9" ht="40.5" customHeight="1" outlineLevel="5">
      <c r="A179" s="78" t="s">
        <v>311</v>
      </c>
      <c r="B179" s="18" t="s">
        <v>46</v>
      </c>
      <c r="C179" s="18" t="s">
        <v>78</v>
      </c>
      <c r="D179" s="18" t="s">
        <v>21</v>
      </c>
      <c r="E179" s="38">
        <v>0</v>
      </c>
      <c r="F179" s="29">
        <v>600</v>
      </c>
      <c r="G179" s="94">
        <f>300+600+100</f>
        <v>1000</v>
      </c>
      <c r="H179" s="94">
        <v>735.76773</v>
      </c>
      <c r="I179" s="94">
        <f t="shared" si="7"/>
        <v>73.576773</v>
      </c>
    </row>
    <row r="180" spans="1:9" ht="50.25" customHeight="1" outlineLevel="5">
      <c r="A180" s="78" t="s">
        <v>312</v>
      </c>
      <c r="B180" s="18" t="s">
        <v>46</v>
      </c>
      <c r="C180" s="18" t="s">
        <v>78</v>
      </c>
      <c r="D180" s="18" t="s">
        <v>21</v>
      </c>
      <c r="E180" s="38">
        <v>0</v>
      </c>
      <c r="F180" s="29">
        <v>600</v>
      </c>
      <c r="G180" s="94">
        <f>317.9</f>
        <v>317.9</v>
      </c>
      <c r="H180" s="94">
        <v>317.9</v>
      </c>
      <c r="I180" s="94">
        <f t="shared" si="7"/>
        <v>100</v>
      </c>
    </row>
    <row r="181" spans="1:9" ht="48.75" customHeight="1" outlineLevel="5">
      <c r="A181" s="78" t="s">
        <v>313</v>
      </c>
      <c r="B181" s="18" t="s">
        <v>46</v>
      </c>
      <c r="C181" s="18" t="s">
        <v>78</v>
      </c>
      <c r="D181" s="18" t="s">
        <v>21</v>
      </c>
      <c r="E181" s="38">
        <v>0</v>
      </c>
      <c r="F181" s="29">
        <v>600</v>
      </c>
      <c r="G181" s="94">
        <f>1271.3</f>
        <v>1271.3</v>
      </c>
      <c r="H181" s="94">
        <v>1271.3</v>
      </c>
      <c r="I181" s="94">
        <f t="shared" si="7"/>
        <v>100</v>
      </c>
    </row>
    <row r="182" spans="1:9" ht="144.75" customHeight="1" outlineLevel="5">
      <c r="A182" s="78" t="s">
        <v>281</v>
      </c>
      <c r="B182" s="18" t="s">
        <v>46</v>
      </c>
      <c r="C182" s="18" t="s">
        <v>78</v>
      </c>
      <c r="D182" s="18" t="s">
        <v>282</v>
      </c>
      <c r="E182" s="38">
        <v>0</v>
      </c>
      <c r="F182" s="29"/>
      <c r="G182" s="94">
        <f>SUM(G183:G183)</f>
        <v>135.47799999999998</v>
      </c>
      <c r="H182" s="94">
        <f>SUM(H183:H183)</f>
        <v>10.176</v>
      </c>
      <c r="I182" s="94">
        <f t="shared" si="7"/>
        <v>7.511182627437667</v>
      </c>
    </row>
    <row r="183" spans="1:9" ht="30.75" customHeight="1" outlineLevel="5">
      <c r="A183" s="78" t="s">
        <v>190</v>
      </c>
      <c r="B183" s="18" t="s">
        <v>46</v>
      </c>
      <c r="C183" s="18" t="s">
        <v>78</v>
      </c>
      <c r="D183" s="18" t="s">
        <v>282</v>
      </c>
      <c r="E183" s="38">
        <v>0</v>
      </c>
      <c r="F183" s="29">
        <v>600</v>
      </c>
      <c r="G183" s="94">
        <f>171.7-36.222</f>
        <v>135.47799999999998</v>
      </c>
      <c r="H183" s="94">
        <v>10.176</v>
      </c>
      <c r="I183" s="94">
        <f t="shared" si="7"/>
        <v>7.511182627437667</v>
      </c>
    </row>
    <row r="184" spans="1:9" ht="48.75" customHeight="1" outlineLevel="5">
      <c r="A184" s="78" t="s">
        <v>292</v>
      </c>
      <c r="B184" s="18" t="s">
        <v>46</v>
      </c>
      <c r="C184" s="18" t="s">
        <v>78</v>
      </c>
      <c r="D184" s="18" t="s">
        <v>23</v>
      </c>
      <c r="E184" s="38">
        <v>0</v>
      </c>
      <c r="F184" s="102"/>
      <c r="G184" s="101">
        <f>SUM(G185+G190)</f>
        <v>108528.66511999999</v>
      </c>
      <c r="H184" s="101">
        <f>SUM(H185+H190)</f>
        <v>94385.03786000001</v>
      </c>
      <c r="I184" s="94">
        <f t="shared" si="7"/>
        <v>86.9678418652239</v>
      </c>
    </row>
    <row r="185" spans="1:9" ht="18" customHeight="1" outlineLevel="5">
      <c r="A185" s="78" t="s">
        <v>82</v>
      </c>
      <c r="B185" s="18" t="s">
        <v>46</v>
      </c>
      <c r="C185" s="18" t="s">
        <v>78</v>
      </c>
      <c r="D185" s="18" t="s">
        <v>23</v>
      </c>
      <c r="E185" s="38">
        <v>0</v>
      </c>
      <c r="F185" s="29"/>
      <c r="G185" s="94">
        <f>SUM(G186:G189)</f>
        <v>20137.785</v>
      </c>
      <c r="H185" s="94">
        <f>SUM(H186:H189)</f>
        <v>16060.67041</v>
      </c>
      <c r="I185" s="94">
        <f t="shared" si="7"/>
        <v>79.7539074431473</v>
      </c>
    </row>
    <row r="186" spans="1:9" ht="81.75" customHeight="1" outlineLevel="5">
      <c r="A186" s="78" t="s">
        <v>116</v>
      </c>
      <c r="B186" s="18" t="s">
        <v>46</v>
      </c>
      <c r="C186" s="18" t="s">
        <v>78</v>
      </c>
      <c r="D186" s="18" t="s">
        <v>23</v>
      </c>
      <c r="E186" s="38">
        <v>0</v>
      </c>
      <c r="F186" s="29">
        <v>100</v>
      </c>
      <c r="G186" s="94">
        <f>51+68.38631</f>
        <v>119.38631</v>
      </c>
      <c r="H186" s="94">
        <v>73.29031</v>
      </c>
      <c r="I186" s="94">
        <f t="shared" si="7"/>
        <v>61.38920785808691</v>
      </c>
    </row>
    <row r="187" spans="1:9" ht="31.5" outlineLevel="5">
      <c r="A187" s="78" t="s">
        <v>117</v>
      </c>
      <c r="B187" s="18" t="s">
        <v>46</v>
      </c>
      <c r="C187" s="18" t="s">
        <v>78</v>
      </c>
      <c r="D187" s="18" t="s">
        <v>23</v>
      </c>
      <c r="E187" s="38">
        <v>0</v>
      </c>
      <c r="F187" s="29">
        <v>200</v>
      </c>
      <c r="G187" s="94">
        <f>1088+314.136+25+345.264+152-68.38631</f>
        <v>1856.01369</v>
      </c>
      <c r="H187" s="94">
        <v>1059.38073</v>
      </c>
      <c r="I187" s="94">
        <f t="shared" si="7"/>
        <v>57.07828211116267</v>
      </c>
    </row>
    <row r="188" spans="1:9" ht="15.75" outlineLevel="5">
      <c r="A188" s="78" t="s">
        <v>170</v>
      </c>
      <c r="B188" s="18" t="s">
        <v>46</v>
      </c>
      <c r="C188" s="18" t="s">
        <v>78</v>
      </c>
      <c r="D188" s="18" t="s">
        <v>23</v>
      </c>
      <c r="E188" s="38">
        <v>0</v>
      </c>
      <c r="F188" s="29">
        <v>800</v>
      </c>
      <c r="G188" s="94">
        <f>76.6</f>
        <v>76.6</v>
      </c>
      <c r="H188" s="94">
        <v>31.87129</v>
      </c>
      <c r="I188" s="94">
        <f t="shared" si="7"/>
        <v>41.607428198433425</v>
      </c>
    </row>
    <row r="189" spans="1:9" ht="33" customHeight="1" outlineLevel="5">
      <c r="A189" s="78" t="s">
        <v>190</v>
      </c>
      <c r="B189" s="18" t="s">
        <v>46</v>
      </c>
      <c r="C189" s="18" t="s">
        <v>78</v>
      </c>
      <c r="D189" s="18" t="s">
        <v>23</v>
      </c>
      <c r="E189" s="38">
        <v>0</v>
      </c>
      <c r="F189" s="29">
        <v>600</v>
      </c>
      <c r="G189" s="94">
        <f>12806.4+1252.1+3061.3-1279.7+516.5+1428.2-19.015+320</f>
        <v>18085.785</v>
      </c>
      <c r="H189" s="94">
        <v>14896.12808</v>
      </c>
      <c r="I189" s="94">
        <f t="shared" si="7"/>
        <v>82.36373527607455</v>
      </c>
    </row>
    <row r="190" spans="1:9" s="16" customFormat="1" ht="15.75" outlineLevel="2">
      <c r="A190" s="78" t="s">
        <v>197</v>
      </c>
      <c r="B190" s="18" t="s">
        <v>46</v>
      </c>
      <c r="C190" s="18" t="s">
        <v>78</v>
      </c>
      <c r="D190" s="18" t="s">
        <v>23</v>
      </c>
      <c r="E190" s="38">
        <v>0</v>
      </c>
      <c r="F190" s="29"/>
      <c r="G190" s="94">
        <f>SUM(G191:G200)</f>
        <v>88390.88011999999</v>
      </c>
      <c r="H190" s="94">
        <f>SUM(H191:H200)</f>
        <v>78324.36745</v>
      </c>
      <c r="I190" s="94">
        <f t="shared" si="7"/>
        <v>88.61136730810506</v>
      </c>
    </row>
    <row r="191" spans="1:9" ht="79.5" customHeight="1" outlineLevel="3">
      <c r="A191" s="78" t="s">
        <v>116</v>
      </c>
      <c r="B191" s="18" t="s">
        <v>46</v>
      </c>
      <c r="C191" s="18" t="s">
        <v>78</v>
      </c>
      <c r="D191" s="18" t="s">
        <v>23</v>
      </c>
      <c r="E191" s="38">
        <v>0</v>
      </c>
      <c r="F191" s="29">
        <v>100</v>
      </c>
      <c r="G191" s="94">
        <f>3873-228.11303+471.1+570+20</f>
        <v>4705.98697</v>
      </c>
      <c r="H191" s="94">
        <f>4137.06636-H192</f>
        <v>3908.95333</v>
      </c>
      <c r="I191" s="94">
        <f t="shared" si="7"/>
        <v>83.06341166941225</v>
      </c>
    </row>
    <row r="192" spans="1:9" ht="69" customHeight="1" outlineLevel="3">
      <c r="A192" s="78" t="s">
        <v>293</v>
      </c>
      <c r="B192" s="18" t="s">
        <v>46</v>
      </c>
      <c r="C192" s="18" t="s">
        <v>78</v>
      </c>
      <c r="D192" s="18" t="s">
        <v>23</v>
      </c>
      <c r="E192" s="38">
        <v>0</v>
      </c>
      <c r="F192" s="29">
        <v>100</v>
      </c>
      <c r="G192" s="94">
        <f>228.11303</f>
        <v>228.11303</v>
      </c>
      <c r="H192" s="94">
        <v>228.11303</v>
      </c>
      <c r="I192" s="94">
        <f t="shared" si="7"/>
        <v>100</v>
      </c>
    </row>
    <row r="193" spans="1:9" ht="31.5" outlineLevel="3">
      <c r="A193" s="78" t="s">
        <v>117</v>
      </c>
      <c r="B193" s="18" t="s">
        <v>46</v>
      </c>
      <c r="C193" s="18" t="s">
        <v>78</v>
      </c>
      <c r="D193" s="18" t="s">
        <v>23</v>
      </c>
      <c r="E193" s="38">
        <v>0</v>
      </c>
      <c r="F193" s="29">
        <v>200</v>
      </c>
      <c r="G193" s="94">
        <v>39.2</v>
      </c>
      <c r="H193" s="94">
        <f>12.65645-H194</f>
        <v>2.9165599999999987</v>
      </c>
      <c r="I193" s="94">
        <f t="shared" si="7"/>
        <v>7.44020408163265</v>
      </c>
    </row>
    <row r="194" spans="1:9" ht="64.5" customHeight="1" outlineLevel="3">
      <c r="A194" s="78" t="s">
        <v>293</v>
      </c>
      <c r="B194" s="18" t="s">
        <v>46</v>
      </c>
      <c r="C194" s="18" t="s">
        <v>78</v>
      </c>
      <c r="D194" s="18" t="s">
        <v>23</v>
      </c>
      <c r="E194" s="38">
        <v>0</v>
      </c>
      <c r="F194" s="29">
        <v>200</v>
      </c>
      <c r="G194" s="94">
        <f>41.442</f>
        <v>41.442</v>
      </c>
      <c r="H194" s="94">
        <v>9.73989</v>
      </c>
      <c r="I194" s="94">
        <f t="shared" si="7"/>
        <v>23.502461271174173</v>
      </c>
    </row>
    <row r="195" spans="1:9" ht="20.25" customHeight="1" outlineLevel="3">
      <c r="A195" s="78" t="s">
        <v>81</v>
      </c>
      <c r="B195" s="18" t="s">
        <v>46</v>
      </c>
      <c r="C195" s="18" t="s">
        <v>78</v>
      </c>
      <c r="D195" s="18" t="s">
        <v>23</v>
      </c>
      <c r="E195" s="38">
        <v>0</v>
      </c>
      <c r="F195" s="29">
        <v>200</v>
      </c>
      <c r="G195" s="94">
        <f>38.3+51.19+10.7</f>
        <v>100.19</v>
      </c>
      <c r="H195" s="94">
        <v>40.362</v>
      </c>
      <c r="I195" s="94">
        <f t="shared" si="7"/>
        <v>40.285457630502044</v>
      </c>
    </row>
    <row r="196" spans="1:9" ht="31.5" outlineLevel="3">
      <c r="A196" s="78" t="s">
        <v>80</v>
      </c>
      <c r="B196" s="18" t="s">
        <v>46</v>
      </c>
      <c r="C196" s="18" t="s">
        <v>78</v>
      </c>
      <c r="D196" s="18" t="s">
        <v>23</v>
      </c>
      <c r="E196" s="38">
        <v>0</v>
      </c>
      <c r="F196" s="29">
        <v>600</v>
      </c>
      <c r="G196" s="94">
        <f>99600.2-22749.1+1225-528.1-3120.17874+4145.6-471.1-570-20</f>
        <v>77512.32126</v>
      </c>
      <c r="H196" s="94">
        <f>72486.78331-H197</f>
        <v>69119.04446</v>
      </c>
      <c r="I196" s="94">
        <f t="shared" si="7"/>
        <v>89.17168694787712</v>
      </c>
    </row>
    <row r="197" spans="1:9" ht="65.25" customHeight="1" outlineLevel="3">
      <c r="A197" s="78" t="s">
        <v>290</v>
      </c>
      <c r="B197" s="18" t="s">
        <v>46</v>
      </c>
      <c r="C197" s="18" t="s">
        <v>78</v>
      </c>
      <c r="D197" s="18" t="s">
        <v>23</v>
      </c>
      <c r="E197" s="38">
        <v>0</v>
      </c>
      <c r="F197" s="29">
        <v>600</v>
      </c>
      <c r="G197" s="94">
        <f>486.658+3120.17874</f>
        <v>3606.8367399999997</v>
      </c>
      <c r="H197" s="94">
        <v>3367.73885</v>
      </c>
      <c r="I197" s="94">
        <f t="shared" si="7"/>
        <v>93.37098107745238</v>
      </c>
    </row>
    <row r="198" spans="1:9" ht="20.25" customHeight="1" outlineLevel="3">
      <c r="A198" s="78" t="s">
        <v>81</v>
      </c>
      <c r="B198" s="18" t="s">
        <v>46</v>
      </c>
      <c r="C198" s="18" t="s">
        <v>78</v>
      </c>
      <c r="D198" s="18" t="s">
        <v>23</v>
      </c>
      <c r="E198" s="38">
        <v>0</v>
      </c>
      <c r="F198" s="29">
        <v>600</v>
      </c>
      <c r="G198" s="94">
        <f>1665.7+172.6-51.19+225.9-10.7</f>
        <v>2002.31</v>
      </c>
      <c r="H198" s="94">
        <v>1579.61753</v>
      </c>
      <c r="I198" s="94">
        <f t="shared" si="7"/>
        <v>78.88975882855303</v>
      </c>
    </row>
    <row r="199" spans="1:9" ht="33.75" customHeight="1" outlineLevel="3">
      <c r="A199" s="78" t="s">
        <v>196</v>
      </c>
      <c r="B199" s="18" t="s">
        <v>46</v>
      </c>
      <c r="C199" s="18" t="s">
        <v>78</v>
      </c>
      <c r="D199" s="18" t="s">
        <v>23</v>
      </c>
      <c r="E199" s="38">
        <v>0</v>
      </c>
      <c r="F199" s="29">
        <v>600</v>
      </c>
      <c r="G199" s="94">
        <f>147.6+6.88012</f>
        <v>154.48012</v>
      </c>
      <c r="H199" s="94">
        <v>67.8818</v>
      </c>
      <c r="I199" s="94">
        <f t="shared" si="7"/>
        <v>43.942094296664195</v>
      </c>
    </row>
    <row r="200" spans="1:9" ht="33.75" customHeight="1" outlineLevel="3">
      <c r="A200" s="78" t="s">
        <v>270</v>
      </c>
      <c r="B200" s="18" t="s">
        <v>46</v>
      </c>
      <c r="C200" s="18" t="s">
        <v>78</v>
      </c>
      <c r="D200" s="18" t="s">
        <v>23</v>
      </c>
      <c r="E200" s="38">
        <v>0</v>
      </c>
      <c r="F200" s="29">
        <v>600</v>
      </c>
      <c r="G200" s="94">
        <v>0</v>
      </c>
      <c r="H200" s="94">
        <v>0</v>
      </c>
      <c r="I200" s="94">
        <v>0</v>
      </c>
    </row>
    <row r="201" spans="1:9" ht="18.75" customHeight="1" outlineLevel="3">
      <c r="A201" s="78" t="s">
        <v>294</v>
      </c>
      <c r="B201" s="18" t="s">
        <v>46</v>
      </c>
      <c r="C201" s="18" t="s">
        <v>295</v>
      </c>
      <c r="D201" s="18"/>
      <c r="E201" s="38"/>
      <c r="F201" s="29"/>
      <c r="G201" s="94">
        <f>SUM(G209+G211+G207+G202+G205)</f>
        <v>11345.6</v>
      </c>
      <c r="H201" s="94">
        <f>SUM(H209+H211+H207+H202+H205)</f>
        <v>7637.713299999999</v>
      </c>
      <c r="I201" s="94">
        <f t="shared" si="7"/>
        <v>67.3187253208292</v>
      </c>
    </row>
    <row r="202" spans="1:9" ht="54" customHeight="1" outlineLevel="3">
      <c r="A202" s="78" t="s">
        <v>260</v>
      </c>
      <c r="B202" s="18" t="s">
        <v>46</v>
      </c>
      <c r="C202" s="18" t="s">
        <v>295</v>
      </c>
      <c r="D202" s="18" t="s">
        <v>6</v>
      </c>
      <c r="E202" s="38">
        <v>0</v>
      </c>
      <c r="F202" s="29"/>
      <c r="G202" s="94">
        <f>SUM(G203)</f>
        <v>1408.1</v>
      </c>
      <c r="H202" s="94">
        <f>SUM(H203)</f>
        <v>0</v>
      </c>
      <c r="I202" s="94">
        <f t="shared" si="7"/>
        <v>0</v>
      </c>
    </row>
    <row r="203" spans="1:9" ht="43.5" customHeight="1" outlineLevel="3">
      <c r="A203" s="78" t="s">
        <v>280</v>
      </c>
      <c r="B203" s="18" t="s">
        <v>46</v>
      </c>
      <c r="C203" s="18" t="s">
        <v>295</v>
      </c>
      <c r="D203" s="18" t="s">
        <v>6</v>
      </c>
      <c r="E203" s="38">
        <v>3</v>
      </c>
      <c r="F203" s="29"/>
      <c r="G203" s="94">
        <f>SUM(G204:G204)</f>
        <v>1408.1</v>
      </c>
      <c r="H203" s="94">
        <f>SUM(H204:H204)</f>
        <v>0</v>
      </c>
      <c r="I203" s="94">
        <f aca="true" t="shared" si="8" ref="I203:I266">SUM(H203/G203)*100</f>
        <v>0</v>
      </c>
    </row>
    <row r="204" spans="1:9" ht="31.5" customHeight="1" outlineLevel="3">
      <c r="A204" s="78" t="s">
        <v>190</v>
      </c>
      <c r="B204" s="18" t="s">
        <v>46</v>
      </c>
      <c r="C204" s="18" t="s">
        <v>295</v>
      </c>
      <c r="D204" s="18" t="s">
        <v>6</v>
      </c>
      <c r="E204" s="38">
        <v>3</v>
      </c>
      <c r="F204" s="29">
        <v>600</v>
      </c>
      <c r="G204" s="94">
        <f>2500-487.9-354-150-100</f>
        <v>1408.1</v>
      </c>
      <c r="H204" s="94">
        <v>0</v>
      </c>
      <c r="I204" s="94">
        <f t="shared" si="8"/>
        <v>0</v>
      </c>
    </row>
    <row r="205" spans="1:9" ht="31.5" customHeight="1" outlineLevel="3">
      <c r="A205" s="78" t="s">
        <v>322</v>
      </c>
      <c r="B205" s="18" t="s">
        <v>46</v>
      </c>
      <c r="C205" s="18" t="s">
        <v>295</v>
      </c>
      <c r="D205" s="18" t="s">
        <v>321</v>
      </c>
      <c r="E205" s="38">
        <v>0</v>
      </c>
      <c r="F205" s="29"/>
      <c r="G205" s="94">
        <f>SUM(G206)</f>
        <v>40</v>
      </c>
      <c r="H205" s="94">
        <f>SUM(H206)</f>
        <v>40</v>
      </c>
      <c r="I205" s="94">
        <f t="shared" si="8"/>
        <v>100</v>
      </c>
    </row>
    <row r="206" spans="1:9" ht="31.5" customHeight="1" outlineLevel="3">
      <c r="A206" s="78" t="s">
        <v>190</v>
      </c>
      <c r="B206" s="18" t="s">
        <v>46</v>
      </c>
      <c r="C206" s="18" t="s">
        <v>295</v>
      </c>
      <c r="D206" s="18" t="s">
        <v>321</v>
      </c>
      <c r="E206" s="38">
        <v>0</v>
      </c>
      <c r="F206" s="29">
        <v>600</v>
      </c>
      <c r="G206" s="94">
        <f>40</f>
        <v>40</v>
      </c>
      <c r="H206" s="94">
        <v>40</v>
      </c>
      <c r="I206" s="94">
        <f t="shared" si="8"/>
        <v>100</v>
      </c>
    </row>
    <row r="207" spans="1:9" ht="68.25" customHeight="1" outlineLevel="3">
      <c r="A207" s="78" t="s">
        <v>257</v>
      </c>
      <c r="B207" s="18" t="s">
        <v>46</v>
      </c>
      <c r="C207" s="18" t="s">
        <v>295</v>
      </c>
      <c r="D207" s="18" t="s">
        <v>20</v>
      </c>
      <c r="E207" s="38">
        <v>0</v>
      </c>
      <c r="F207" s="29"/>
      <c r="G207" s="94">
        <f>SUM(G208)</f>
        <v>0</v>
      </c>
      <c r="H207" s="94">
        <f>SUM(H208)</f>
        <v>0</v>
      </c>
      <c r="I207" s="94">
        <v>0</v>
      </c>
    </row>
    <row r="208" spans="1:9" ht="36" customHeight="1" outlineLevel="3">
      <c r="A208" s="78" t="s">
        <v>190</v>
      </c>
      <c r="B208" s="18" t="s">
        <v>46</v>
      </c>
      <c r="C208" s="18" t="s">
        <v>295</v>
      </c>
      <c r="D208" s="18" t="s">
        <v>20</v>
      </c>
      <c r="E208" s="38">
        <v>0</v>
      </c>
      <c r="F208" s="29">
        <v>600</v>
      </c>
      <c r="G208" s="94">
        <f>50+25.25-75.25</f>
        <v>0</v>
      </c>
      <c r="H208" s="94">
        <v>0</v>
      </c>
      <c r="I208" s="94">
        <v>0</v>
      </c>
    </row>
    <row r="209" spans="1:9" ht="68.25" customHeight="1" outlineLevel="3">
      <c r="A209" s="78" t="s">
        <v>228</v>
      </c>
      <c r="B209" s="18" t="s">
        <v>46</v>
      </c>
      <c r="C209" s="18" t="s">
        <v>295</v>
      </c>
      <c r="D209" s="18" t="s">
        <v>24</v>
      </c>
      <c r="E209" s="38">
        <v>0</v>
      </c>
      <c r="F209" s="29"/>
      <c r="G209" s="94">
        <f>SUM(G210:G210)</f>
        <v>4300</v>
      </c>
      <c r="H209" s="94">
        <f>SUM(H210:H210)</f>
        <v>3328.21909</v>
      </c>
      <c r="I209" s="94">
        <f t="shared" si="8"/>
        <v>77.40044395348838</v>
      </c>
    </row>
    <row r="210" spans="1:9" ht="36.75" customHeight="1" outlineLevel="3">
      <c r="A210" s="78" t="s">
        <v>190</v>
      </c>
      <c r="B210" s="18" t="s">
        <v>46</v>
      </c>
      <c r="C210" s="18" t="s">
        <v>295</v>
      </c>
      <c r="D210" s="18" t="s">
        <v>24</v>
      </c>
      <c r="E210" s="38">
        <v>0</v>
      </c>
      <c r="F210" s="29">
        <v>600</v>
      </c>
      <c r="G210" s="94">
        <f>4300</f>
        <v>4300</v>
      </c>
      <c r="H210" s="94">
        <v>3328.21909</v>
      </c>
      <c r="I210" s="94">
        <f t="shared" si="8"/>
        <v>77.40044395348838</v>
      </c>
    </row>
    <row r="211" spans="1:9" ht="61.5" customHeight="1" outlineLevel="3">
      <c r="A211" s="78" t="s">
        <v>265</v>
      </c>
      <c r="B211" s="18" t="s">
        <v>46</v>
      </c>
      <c r="C211" s="18" t="s">
        <v>295</v>
      </c>
      <c r="D211" s="18" t="s">
        <v>25</v>
      </c>
      <c r="E211" s="38">
        <v>0</v>
      </c>
      <c r="F211" s="29"/>
      <c r="G211" s="94">
        <f>SUM(G212:G213)</f>
        <v>5597.5</v>
      </c>
      <c r="H211" s="94">
        <f>SUM(H212:H213)</f>
        <v>4269.49421</v>
      </c>
      <c r="I211" s="94">
        <f t="shared" si="8"/>
        <v>76.27501938365342</v>
      </c>
    </row>
    <row r="212" spans="1:9" ht="36.75" customHeight="1" outlineLevel="3">
      <c r="A212" s="78" t="s">
        <v>190</v>
      </c>
      <c r="B212" s="18" t="s">
        <v>46</v>
      </c>
      <c r="C212" s="18" t="s">
        <v>295</v>
      </c>
      <c r="D212" s="18" t="s">
        <v>25</v>
      </c>
      <c r="E212" s="38">
        <v>0</v>
      </c>
      <c r="F212" s="29">
        <v>600</v>
      </c>
      <c r="G212" s="94">
        <f>4100+482.5+1000</f>
        <v>5582.5</v>
      </c>
      <c r="H212" s="94">
        <v>4260.49589</v>
      </c>
      <c r="I212" s="94">
        <f t="shared" si="8"/>
        <v>76.31877993730409</v>
      </c>
    </row>
    <row r="213" spans="1:9" ht="36.75" customHeight="1" outlineLevel="3">
      <c r="A213" s="78" t="s">
        <v>196</v>
      </c>
      <c r="B213" s="18" t="s">
        <v>46</v>
      </c>
      <c r="C213" s="18" t="s">
        <v>295</v>
      </c>
      <c r="D213" s="18" t="s">
        <v>25</v>
      </c>
      <c r="E213" s="38">
        <v>0</v>
      </c>
      <c r="F213" s="29">
        <v>600</v>
      </c>
      <c r="G213" s="94">
        <f>15</f>
        <v>15</v>
      </c>
      <c r="H213" s="94">
        <v>8.99832</v>
      </c>
      <c r="I213" s="94">
        <f t="shared" si="8"/>
        <v>59.9888</v>
      </c>
    </row>
    <row r="214" spans="1:9" ht="18.75" customHeight="1" outlineLevel="1">
      <c r="A214" s="83" t="s">
        <v>85</v>
      </c>
      <c r="B214" s="18" t="s">
        <v>46</v>
      </c>
      <c r="C214" s="18" t="s">
        <v>84</v>
      </c>
      <c r="D214" s="18" t="s">
        <v>0</v>
      </c>
      <c r="E214" s="38" t="s">
        <v>0</v>
      </c>
      <c r="F214" s="29"/>
      <c r="G214" s="94">
        <f>SUM(G218+G227+G230+G232+G235+G215)</f>
        <v>8121.75648</v>
      </c>
      <c r="H214" s="94">
        <f>SUM(H218+H227+H230+H232+H235+H215)</f>
        <v>6808.64111</v>
      </c>
      <c r="I214" s="94">
        <f t="shared" si="8"/>
        <v>83.83212580636251</v>
      </c>
    </row>
    <row r="215" spans="1:9" ht="43.5" customHeight="1" outlineLevel="1">
      <c r="A215" s="78" t="s">
        <v>260</v>
      </c>
      <c r="B215" s="18" t="s">
        <v>46</v>
      </c>
      <c r="C215" s="18" t="s">
        <v>84</v>
      </c>
      <c r="D215" s="18" t="s">
        <v>6</v>
      </c>
      <c r="E215" s="38">
        <v>0</v>
      </c>
      <c r="F215" s="29"/>
      <c r="G215" s="94">
        <f>SUM(G216)</f>
        <v>839.6878</v>
      </c>
      <c r="H215" s="94">
        <f>SUM(H216)</f>
        <v>823.34491</v>
      </c>
      <c r="I215" s="94">
        <f t="shared" si="8"/>
        <v>98.05369448025802</v>
      </c>
    </row>
    <row r="216" spans="1:9" ht="48" customHeight="1" outlineLevel="1">
      <c r="A216" s="78" t="s">
        <v>280</v>
      </c>
      <c r="B216" s="18" t="s">
        <v>46</v>
      </c>
      <c r="C216" s="18" t="s">
        <v>84</v>
      </c>
      <c r="D216" s="18" t="s">
        <v>6</v>
      </c>
      <c r="E216" s="38">
        <v>3</v>
      </c>
      <c r="F216" s="29"/>
      <c r="G216" s="94">
        <f>SUM(G217)</f>
        <v>839.6878</v>
      </c>
      <c r="H216" s="94">
        <f>SUM(H217)</f>
        <v>823.34491</v>
      </c>
      <c r="I216" s="94">
        <f t="shared" si="8"/>
        <v>98.05369448025802</v>
      </c>
    </row>
    <row r="217" spans="1:9" ht="38.25" customHeight="1" outlineLevel="1">
      <c r="A217" s="78" t="s">
        <v>190</v>
      </c>
      <c r="B217" s="18" t="s">
        <v>46</v>
      </c>
      <c r="C217" s="18" t="s">
        <v>84</v>
      </c>
      <c r="D217" s="18" t="s">
        <v>6</v>
      </c>
      <c r="E217" s="38">
        <v>3</v>
      </c>
      <c r="F217" s="29">
        <v>600</v>
      </c>
      <c r="G217" s="94">
        <f>209.6878+300+330</f>
        <v>839.6878</v>
      </c>
      <c r="H217" s="94">
        <v>823.34491</v>
      </c>
      <c r="I217" s="94">
        <f t="shared" si="8"/>
        <v>98.05369448025802</v>
      </c>
    </row>
    <row r="218" spans="1:9" ht="80.25" customHeight="1" outlineLevel="1">
      <c r="A218" s="83" t="s">
        <v>198</v>
      </c>
      <c r="B218" s="18" t="s">
        <v>46</v>
      </c>
      <c r="C218" s="18" t="s">
        <v>84</v>
      </c>
      <c r="D218" s="18" t="s">
        <v>30</v>
      </c>
      <c r="E218" s="38">
        <v>0</v>
      </c>
      <c r="F218" s="29"/>
      <c r="G218" s="94">
        <f>SUM(G219+G221+G223)</f>
        <v>338</v>
      </c>
      <c r="H218" s="94">
        <f>SUM(H219+H221+H223)</f>
        <v>333.2939</v>
      </c>
      <c r="I218" s="94">
        <f t="shared" si="8"/>
        <v>98.60766272189349</v>
      </c>
    </row>
    <row r="219" spans="1:9" ht="32.25" customHeight="1" outlineLevel="1">
      <c r="A219" s="78" t="s">
        <v>199</v>
      </c>
      <c r="B219" s="18" t="s">
        <v>46</v>
      </c>
      <c r="C219" s="18" t="s">
        <v>84</v>
      </c>
      <c r="D219" s="18" t="s">
        <v>30</v>
      </c>
      <c r="E219" s="38">
        <v>1</v>
      </c>
      <c r="F219" s="29"/>
      <c r="G219" s="94">
        <f>SUM(G220)</f>
        <v>45</v>
      </c>
      <c r="H219" s="94">
        <f>SUM(H220)</f>
        <v>45</v>
      </c>
      <c r="I219" s="94">
        <f t="shared" si="8"/>
        <v>100</v>
      </c>
    </row>
    <row r="220" spans="1:9" ht="33.75" customHeight="1" outlineLevel="1">
      <c r="A220" s="78" t="s">
        <v>117</v>
      </c>
      <c r="B220" s="18" t="s">
        <v>46</v>
      </c>
      <c r="C220" s="18" t="s">
        <v>84</v>
      </c>
      <c r="D220" s="18" t="s">
        <v>30</v>
      </c>
      <c r="E220" s="38">
        <v>1</v>
      </c>
      <c r="F220" s="29">
        <v>200</v>
      </c>
      <c r="G220" s="94">
        <f>50-5</f>
        <v>45</v>
      </c>
      <c r="H220" s="94">
        <v>45</v>
      </c>
      <c r="I220" s="94">
        <f t="shared" si="8"/>
        <v>100</v>
      </c>
    </row>
    <row r="221" spans="1:9" ht="33" customHeight="1" outlineLevel="1">
      <c r="A221" s="78" t="s">
        <v>200</v>
      </c>
      <c r="B221" s="18" t="s">
        <v>46</v>
      </c>
      <c r="C221" s="18" t="s">
        <v>84</v>
      </c>
      <c r="D221" s="18" t="s">
        <v>30</v>
      </c>
      <c r="E221" s="38">
        <v>2</v>
      </c>
      <c r="F221" s="29"/>
      <c r="G221" s="94">
        <f>SUM(G222)</f>
        <v>238</v>
      </c>
      <c r="H221" s="94">
        <f>SUM(H222)</f>
        <v>236.4024</v>
      </c>
      <c r="I221" s="94">
        <f t="shared" si="8"/>
        <v>99.32873949579832</v>
      </c>
    </row>
    <row r="222" spans="1:9" ht="33" customHeight="1" outlineLevel="1">
      <c r="A222" s="78" t="s">
        <v>117</v>
      </c>
      <c r="B222" s="18" t="s">
        <v>46</v>
      </c>
      <c r="C222" s="18" t="s">
        <v>84</v>
      </c>
      <c r="D222" s="18" t="s">
        <v>30</v>
      </c>
      <c r="E222" s="38">
        <v>2</v>
      </c>
      <c r="F222" s="29">
        <v>200</v>
      </c>
      <c r="G222" s="94">
        <f>200+38</f>
        <v>238</v>
      </c>
      <c r="H222" s="94">
        <v>236.4024</v>
      </c>
      <c r="I222" s="94">
        <f t="shared" si="8"/>
        <v>99.32873949579832</v>
      </c>
    </row>
    <row r="223" spans="1:9" ht="46.5" customHeight="1" outlineLevel="1">
      <c r="A223" s="78" t="s">
        <v>201</v>
      </c>
      <c r="B223" s="18" t="s">
        <v>46</v>
      </c>
      <c r="C223" s="18" t="s">
        <v>84</v>
      </c>
      <c r="D223" s="18" t="s">
        <v>30</v>
      </c>
      <c r="E223" s="38">
        <v>3</v>
      </c>
      <c r="F223" s="29"/>
      <c r="G223" s="94">
        <f>SUM(G224:G226)</f>
        <v>55</v>
      </c>
      <c r="H223" s="94">
        <f>SUM(H224:H226)</f>
        <v>51.8915</v>
      </c>
      <c r="I223" s="94">
        <f t="shared" si="8"/>
        <v>94.34818181818181</v>
      </c>
    </row>
    <row r="224" spans="1:9" ht="34.5" customHeight="1" outlineLevel="1">
      <c r="A224" s="78" t="s">
        <v>117</v>
      </c>
      <c r="B224" s="18" t="s">
        <v>46</v>
      </c>
      <c r="C224" s="18" t="s">
        <v>84</v>
      </c>
      <c r="D224" s="18" t="s">
        <v>30</v>
      </c>
      <c r="E224" s="38">
        <v>3</v>
      </c>
      <c r="F224" s="29">
        <v>200</v>
      </c>
      <c r="G224" s="94">
        <f>50-10.8915</f>
        <v>39.1085</v>
      </c>
      <c r="H224" s="94">
        <v>38</v>
      </c>
      <c r="I224" s="94">
        <f t="shared" si="8"/>
        <v>97.16557781556439</v>
      </c>
    </row>
    <row r="225" spans="1:9" ht="34.5" customHeight="1" outlineLevel="1">
      <c r="A225" s="78" t="s">
        <v>117</v>
      </c>
      <c r="B225" s="18" t="s">
        <v>46</v>
      </c>
      <c r="C225" s="18" t="s">
        <v>84</v>
      </c>
      <c r="D225" s="18" t="s">
        <v>30</v>
      </c>
      <c r="E225" s="38">
        <v>3</v>
      </c>
      <c r="F225" s="29">
        <v>200</v>
      </c>
      <c r="G225" s="94">
        <v>2</v>
      </c>
      <c r="H225" s="94">
        <v>0</v>
      </c>
      <c r="I225" s="94">
        <f t="shared" si="8"/>
        <v>0</v>
      </c>
    </row>
    <row r="226" spans="1:9" ht="18" customHeight="1" outlineLevel="1">
      <c r="A226" s="78" t="s">
        <v>191</v>
      </c>
      <c r="B226" s="18" t="s">
        <v>46</v>
      </c>
      <c r="C226" s="18" t="s">
        <v>84</v>
      </c>
      <c r="D226" s="18" t="s">
        <v>30</v>
      </c>
      <c r="E226" s="38">
        <v>3</v>
      </c>
      <c r="F226" s="29">
        <v>300</v>
      </c>
      <c r="G226" s="94">
        <f>13.8915</f>
        <v>13.8915</v>
      </c>
      <c r="H226" s="94">
        <v>13.8915</v>
      </c>
      <c r="I226" s="94">
        <f t="shared" si="8"/>
        <v>100</v>
      </c>
    </row>
    <row r="227" spans="1:9" ht="55.5" customHeight="1" outlineLevel="1">
      <c r="A227" s="78" t="s">
        <v>261</v>
      </c>
      <c r="B227" s="18" t="s">
        <v>46</v>
      </c>
      <c r="C227" s="18" t="s">
        <v>84</v>
      </c>
      <c r="D227" s="18" t="s">
        <v>7</v>
      </c>
      <c r="E227" s="38">
        <v>0</v>
      </c>
      <c r="F227" s="29"/>
      <c r="G227" s="94">
        <f>SUM(G228:G229)</f>
        <v>297.62368</v>
      </c>
      <c r="H227" s="94">
        <f>SUM(H228:H229)</f>
        <v>297.62368</v>
      </c>
      <c r="I227" s="94">
        <f t="shared" si="8"/>
        <v>100</v>
      </c>
    </row>
    <row r="228" spans="1:9" ht="34.5" customHeight="1" outlineLevel="1">
      <c r="A228" s="78" t="s">
        <v>117</v>
      </c>
      <c r="B228" s="18" t="s">
        <v>46</v>
      </c>
      <c r="C228" s="18" t="s">
        <v>84</v>
      </c>
      <c r="D228" s="18" t="s">
        <v>7</v>
      </c>
      <c r="E228" s="38">
        <v>0</v>
      </c>
      <c r="F228" s="29">
        <v>200</v>
      </c>
      <c r="G228" s="94">
        <f>200+100-300</f>
        <v>0</v>
      </c>
      <c r="H228" s="94">
        <v>0</v>
      </c>
      <c r="I228" s="94">
        <v>0</v>
      </c>
    </row>
    <row r="229" spans="1:9" ht="34.5" customHeight="1" outlineLevel="1">
      <c r="A229" s="78" t="s">
        <v>190</v>
      </c>
      <c r="B229" s="18" t="s">
        <v>46</v>
      </c>
      <c r="C229" s="18" t="s">
        <v>84</v>
      </c>
      <c r="D229" s="18" t="s">
        <v>7</v>
      </c>
      <c r="E229" s="38">
        <v>0</v>
      </c>
      <c r="F229" s="29">
        <v>600</v>
      </c>
      <c r="G229" s="94">
        <f>200+100-2.37632</f>
        <v>297.62368</v>
      </c>
      <c r="H229" s="94">
        <v>297.62368</v>
      </c>
      <c r="I229" s="94">
        <f t="shared" si="8"/>
        <v>100</v>
      </c>
    </row>
    <row r="230" spans="1:9" ht="50.25" customHeight="1" outlineLevel="3">
      <c r="A230" s="83" t="s">
        <v>229</v>
      </c>
      <c r="B230" s="18" t="s">
        <v>46</v>
      </c>
      <c r="C230" s="18" t="s">
        <v>84</v>
      </c>
      <c r="D230" s="18" t="s">
        <v>26</v>
      </c>
      <c r="E230" s="38">
        <v>0</v>
      </c>
      <c r="F230" s="29"/>
      <c r="G230" s="94">
        <f>SUM(G231)</f>
        <v>3567.5</v>
      </c>
      <c r="H230" s="94">
        <f>SUM(H231)</f>
        <v>2943.85397</v>
      </c>
      <c r="I230" s="94">
        <f t="shared" si="8"/>
        <v>82.51868170988087</v>
      </c>
    </row>
    <row r="231" spans="1:9" ht="32.25" customHeight="1" outlineLevel="3">
      <c r="A231" s="78" t="s">
        <v>190</v>
      </c>
      <c r="B231" s="18" t="s">
        <v>46</v>
      </c>
      <c r="C231" s="18" t="s">
        <v>84</v>
      </c>
      <c r="D231" s="18" t="s">
        <v>26</v>
      </c>
      <c r="E231" s="38">
        <v>0</v>
      </c>
      <c r="F231" s="29">
        <v>600</v>
      </c>
      <c r="G231" s="94">
        <f>3100+392.5+30+45</f>
        <v>3567.5</v>
      </c>
      <c r="H231" s="94">
        <v>2943.85397</v>
      </c>
      <c r="I231" s="94">
        <f t="shared" si="8"/>
        <v>82.51868170988087</v>
      </c>
    </row>
    <row r="232" spans="1:9" s="16" customFormat="1" ht="78.75" customHeight="1" outlineLevel="2">
      <c r="A232" s="83" t="s">
        <v>262</v>
      </c>
      <c r="B232" s="18" t="s">
        <v>46</v>
      </c>
      <c r="C232" s="18" t="s">
        <v>84</v>
      </c>
      <c r="D232" s="18" t="s">
        <v>27</v>
      </c>
      <c r="E232" s="38">
        <v>0</v>
      </c>
      <c r="F232" s="29"/>
      <c r="G232" s="94">
        <f>SUM(G233:G234)</f>
        <v>1650</v>
      </c>
      <c r="H232" s="94">
        <f>SUM(H233:H234)</f>
        <v>1513.2602</v>
      </c>
      <c r="I232" s="94">
        <f t="shared" si="8"/>
        <v>91.71273939393939</v>
      </c>
    </row>
    <row r="233" spans="1:9" s="16" customFormat="1" ht="39" customHeight="1" outlineLevel="2">
      <c r="A233" s="78" t="s">
        <v>190</v>
      </c>
      <c r="B233" s="18" t="s">
        <v>46</v>
      </c>
      <c r="C233" s="18" t="s">
        <v>84</v>
      </c>
      <c r="D233" s="18" t="s">
        <v>27</v>
      </c>
      <c r="E233" s="38">
        <v>0</v>
      </c>
      <c r="F233" s="29">
        <v>600</v>
      </c>
      <c r="G233" s="94">
        <f>1600+50</f>
        <v>1650</v>
      </c>
      <c r="H233" s="94">
        <v>1513.2602</v>
      </c>
      <c r="I233" s="94">
        <f t="shared" si="8"/>
        <v>91.71273939393939</v>
      </c>
    </row>
    <row r="234" spans="1:9" s="16" customFormat="1" ht="50.25" customHeight="1" outlineLevel="2">
      <c r="A234" s="83" t="s">
        <v>183</v>
      </c>
      <c r="B234" s="18" t="s">
        <v>46</v>
      </c>
      <c r="C234" s="18" t="s">
        <v>84</v>
      </c>
      <c r="D234" s="18" t="s">
        <v>27</v>
      </c>
      <c r="E234" s="38">
        <v>0</v>
      </c>
      <c r="F234" s="29">
        <v>600</v>
      </c>
      <c r="G234" s="94">
        <v>0</v>
      </c>
      <c r="H234" s="94">
        <v>0</v>
      </c>
      <c r="I234" s="94">
        <v>0</v>
      </c>
    </row>
    <row r="235" spans="1:9" s="16" customFormat="1" ht="33.75" customHeight="1" outlineLevel="2">
      <c r="A235" s="83" t="s">
        <v>202</v>
      </c>
      <c r="B235" s="18" t="s">
        <v>46</v>
      </c>
      <c r="C235" s="18" t="s">
        <v>84</v>
      </c>
      <c r="D235" s="18" t="s">
        <v>17</v>
      </c>
      <c r="E235" s="38">
        <v>0</v>
      </c>
      <c r="F235" s="29"/>
      <c r="G235" s="94">
        <f>SUM(G236)</f>
        <v>1428.9450000000002</v>
      </c>
      <c r="H235" s="94">
        <f>SUM(H236)</f>
        <v>897.26445</v>
      </c>
      <c r="I235" s="94">
        <f t="shared" si="8"/>
        <v>62.792091368107236</v>
      </c>
    </row>
    <row r="236" spans="1:9" s="16" customFormat="1" ht="37.5" customHeight="1" outlineLevel="2">
      <c r="A236" s="78" t="s">
        <v>189</v>
      </c>
      <c r="B236" s="18" t="s">
        <v>46</v>
      </c>
      <c r="C236" s="18" t="s">
        <v>84</v>
      </c>
      <c r="D236" s="18" t="s">
        <v>17</v>
      </c>
      <c r="E236" s="38">
        <v>0</v>
      </c>
      <c r="F236" s="29"/>
      <c r="G236" s="94">
        <f>SUM(G237:G238)</f>
        <v>1428.9450000000002</v>
      </c>
      <c r="H236" s="94">
        <f>SUM(H237:H238)</f>
        <v>897.26445</v>
      </c>
      <c r="I236" s="94">
        <f t="shared" si="8"/>
        <v>62.792091368107236</v>
      </c>
    </row>
    <row r="237" spans="1:9" s="16" customFormat="1" ht="51.75" customHeight="1" outlineLevel="2">
      <c r="A237" s="83" t="s">
        <v>203</v>
      </c>
      <c r="B237" s="18" t="s">
        <v>46</v>
      </c>
      <c r="C237" s="18" t="s">
        <v>84</v>
      </c>
      <c r="D237" s="18" t="s">
        <v>17</v>
      </c>
      <c r="E237" s="38">
        <v>0</v>
      </c>
      <c r="F237" s="29">
        <v>600</v>
      </c>
      <c r="G237" s="94">
        <f>506.6+789.7+64.6</f>
        <v>1360.9</v>
      </c>
      <c r="H237" s="94">
        <v>897.26445</v>
      </c>
      <c r="I237" s="94">
        <f t="shared" si="8"/>
        <v>65.9316959365126</v>
      </c>
    </row>
    <row r="238" spans="1:9" s="16" customFormat="1" ht="35.25" customHeight="1" outlineLevel="2">
      <c r="A238" s="78" t="s">
        <v>190</v>
      </c>
      <c r="B238" s="18" t="s">
        <v>46</v>
      </c>
      <c r="C238" s="18" t="s">
        <v>84</v>
      </c>
      <c r="D238" s="18" t="s">
        <v>17</v>
      </c>
      <c r="E238" s="38">
        <v>0</v>
      </c>
      <c r="F238" s="29">
        <v>600</v>
      </c>
      <c r="G238" s="94">
        <f>25.4+39.49+3.155</f>
        <v>68.045</v>
      </c>
      <c r="H238" s="94">
        <v>0</v>
      </c>
      <c r="I238" s="94">
        <f t="shared" si="8"/>
        <v>0</v>
      </c>
    </row>
    <row r="239" spans="1:9" s="16" customFormat="1" ht="15.75" outlineLevel="2">
      <c r="A239" s="78" t="s">
        <v>86</v>
      </c>
      <c r="B239" s="18" t="s">
        <v>46</v>
      </c>
      <c r="C239" s="18" t="s">
        <v>87</v>
      </c>
      <c r="D239" s="18"/>
      <c r="E239" s="38"/>
      <c r="F239" s="29"/>
      <c r="G239" s="94">
        <f>SUM(G242+G240)</f>
        <v>650</v>
      </c>
      <c r="H239" s="94">
        <f>SUM(H242+H240)</f>
        <v>532.8680400000001</v>
      </c>
      <c r="I239" s="94">
        <f t="shared" si="8"/>
        <v>81.97969846153848</v>
      </c>
    </row>
    <row r="240" spans="1:9" s="16" customFormat="1" ht="94.5" customHeight="1" outlineLevel="2">
      <c r="A240" s="78" t="s">
        <v>286</v>
      </c>
      <c r="B240" s="18" t="s">
        <v>46</v>
      </c>
      <c r="C240" s="18" t="s">
        <v>87</v>
      </c>
      <c r="D240" s="18" t="s">
        <v>284</v>
      </c>
      <c r="E240" s="38">
        <v>0</v>
      </c>
      <c r="F240" s="48"/>
      <c r="G240" s="94">
        <f>SUM(G241)</f>
        <v>25</v>
      </c>
      <c r="H240" s="94">
        <f>SUM(H241)</f>
        <v>0</v>
      </c>
      <c r="I240" s="94">
        <f t="shared" si="8"/>
        <v>0</v>
      </c>
    </row>
    <row r="241" spans="1:9" s="16" customFormat="1" ht="18.75" customHeight="1" outlineLevel="2">
      <c r="A241" s="78" t="s">
        <v>191</v>
      </c>
      <c r="B241" s="18" t="s">
        <v>46</v>
      </c>
      <c r="C241" s="18" t="s">
        <v>87</v>
      </c>
      <c r="D241" s="18" t="s">
        <v>284</v>
      </c>
      <c r="E241" s="38">
        <v>0</v>
      </c>
      <c r="F241" s="48">
        <v>300</v>
      </c>
      <c r="G241" s="94">
        <v>25</v>
      </c>
      <c r="H241" s="94">
        <v>0</v>
      </c>
      <c r="I241" s="94">
        <f t="shared" si="8"/>
        <v>0</v>
      </c>
    </row>
    <row r="242" spans="1:9" ht="68.25" customHeight="1" outlineLevel="3">
      <c r="A242" s="83" t="s">
        <v>263</v>
      </c>
      <c r="B242" s="18" t="s">
        <v>46</v>
      </c>
      <c r="C242" s="18" t="s">
        <v>87</v>
      </c>
      <c r="D242" s="18" t="s">
        <v>28</v>
      </c>
      <c r="E242" s="38">
        <v>0</v>
      </c>
      <c r="F242" s="29"/>
      <c r="G242" s="94">
        <f>SUM(G243:G245)</f>
        <v>625</v>
      </c>
      <c r="H242" s="94">
        <f>SUM(H243:H245)</f>
        <v>532.8680400000001</v>
      </c>
      <c r="I242" s="94">
        <f t="shared" si="8"/>
        <v>85.25888640000001</v>
      </c>
    </row>
    <row r="243" spans="1:9" ht="77.25" customHeight="1" outlineLevel="2">
      <c r="A243" s="78" t="s">
        <v>116</v>
      </c>
      <c r="B243" s="18" t="s">
        <v>46</v>
      </c>
      <c r="C243" s="18" t="s">
        <v>87</v>
      </c>
      <c r="D243" s="18" t="s">
        <v>28</v>
      </c>
      <c r="E243" s="38">
        <v>0</v>
      </c>
      <c r="F243" s="29">
        <v>100</v>
      </c>
      <c r="G243" s="94">
        <f>600-35</f>
        <v>565</v>
      </c>
      <c r="H243" s="94">
        <v>479.35976</v>
      </c>
      <c r="I243" s="94">
        <f t="shared" si="8"/>
        <v>84.8424353982301</v>
      </c>
    </row>
    <row r="244" spans="1:9" ht="31.5" outlineLevel="3">
      <c r="A244" s="78" t="s">
        <v>117</v>
      </c>
      <c r="B244" s="18" t="s">
        <v>46</v>
      </c>
      <c r="C244" s="18" t="s">
        <v>87</v>
      </c>
      <c r="D244" s="18" t="s">
        <v>28</v>
      </c>
      <c r="E244" s="38">
        <v>0</v>
      </c>
      <c r="F244" s="29">
        <v>200</v>
      </c>
      <c r="G244" s="94">
        <f>24.8+35</f>
        <v>59.8</v>
      </c>
      <c r="H244" s="94">
        <v>53.5</v>
      </c>
      <c r="I244" s="94">
        <f t="shared" si="8"/>
        <v>89.46488294314382</v>
      </c>
    </row>
    <row r="245" spans="1:9" ht="15.75" outlineLevel="3">
      <c r="A245" s="78" t="s">
        <v>170</v>
      </c>
      <c r="B245" s="18" t="s">
        <v>46</v>
      </c>
      <c r="C245" s="18" t="s">
        <v>87</v>
      </c>
      <c r="D245" s="18" t="s">
        <v>28</v>
      </c>
      <c r="E245" s="38">
        <v>0</v>
      </c>
      <c r="F245" s="29">
        <v>800</v>
      </c>
      <c r="G245" s="94">
        <v>0.2</v>
      </c>
      <c r="H245" s="94">
        <v>0.00828</v>
      </c>
      <c r="I245" s="94">
        <f t="shared" si="8"/>
        <v>4.139999999999999</v>
      </c>
    </row>
    <row r="246" spans="1:9" ht="15.75" outlineLevel="1">
      <c r="A246" s="78" t="s">
        <v>88</v>
      </c>
      <c r="B246" s="18" t="s">
        <v>46</v>
      </c>
      <c r="C246" s="18" t="s">
        <v>135</v>
      </c>
      <c r="D246" s="18"/>
      <c r="E246" s="38"/>
      <c r="F246" s="29"/>
      <c r="G246" s="94">
        <f>SUM(G247+G272+G274)</f>
        <v>17330.702</v>
      </c>
      <c r="H246" s="94">
        <f>SUM(H247+H272+H274)</f>
        <v>10854.28324</v>
      </c>
      <c r="I246" s="94">
        <f t="shared" si="8"/>
        <v>62.630372618489424</v>
      </c>
    </row>
    <row r="247" spans="1:9" ht="15.75" outlineLevel="1">
      <c r="A247" s="78" t="s">
        <v>136</v>
      </c>
      <c r="B247" s="18" t="s">
        <v>46</v>
      </c>
      <c r="C247" s="18" t="s">
        <v>94</v>
      </c>
      <c r="D247" s="18"/>
      <c r="E247" s="38"/>
      <c r="F247" s="29"/>
      <c r="G247" s="94">
        <f>SUM(G248+G251+G256+G258+G260+G263+G266+G268+G270)</f>
        <v>16175.702000000001</v>
      </c>
      <c r="H247" s="94">
        <f>SUM(H248+H251+H256+H258+H260+H263+H266+H268+H270)</f>
        <v>9924.4612</v>
      </c>
      <c r="I247" s="94">
        <f t="shared" si="8"/>
        <v>61.35412979294499</v>
      </c>
    </row>
    <row r="248" spans="1:9" ht="45.75" customHeight="1" outlineLevel="1">
      <c r="A248" s="78" t="s">
        <v>260</v>
      </c>
      <c r="B248" s="18" t="s">
        <v>46</v>
      </c>
      <c r="C248" s="18" t="s">
        <v>94</v>
      </c>
      <c r="D248" s="18" t="s">
        <v>6</v>
      </c>
      <c r="E248" s="38">
        <v>0</v>
      </c>
      <c r="F248" s="29"/>
      <c r="G248" s="94">
        <f>SUM(G249)</f>
        <v>3368.532</v>
      </c>
      <c r="H248" s="94">
        <f>SUM(H249)</f>
        <v>0</v>
      </c>
      <c r="I248" s="94">
        <f t="shared" si="8"/>
        <v>0</v>
      </c>
    </row>
    <row r="249" spans="1:9" ht="47.25" outlineLevel="1">
      <c r="A249" s="78" t="s">
        <v>280</v>
      </c>
      <c r="B249" s="18" t="s">
        <v>46</v>
      </c>
      <c r="C249" s="18" t="s">
        <v>94</v>
      </c>
      <c r="D249" s="18" t="s">
        <v>6</v>
      </c>
      <c r="E249" s="38">
        <v>3</v>
      </c>
      <c r="F249" s="29"/>
      <c r="G249" s="94">
        <f>SUM(G250:G250)</f>
        <v>3368.532</v>
      </c>
      <c r="H249" s="94">
        <f>SUM(H250:H250)</f>
        <v>0</v>
      </c>
      <c r="I249" s="94">
        <f t="shared" si="8"/>
        <v>0</v>
      </c>
    </row>
    <row r="250" spans="1:9" ht="29.25" customHeight="1" outlineLevel="1">
      <c r="A250" s="78" t="s">
        <v>190</v>
      </c>
      <c r="B250" s="18" t="s">
        <v>46</v>
      </c>
      <c r="C250" s="18" t="s">
        <v>94</v>
      </c>
      <c r="D250" s="18" t="s">
        <v>6</v>
      </c>
      <c r="E250" s="38">
        <v>3</v>
      </c>
      <c r="F250" s="29">
        <v>600</v>
      </c>
      <c r="G250" s="94">
        <f>3213-873+1028.532</f>
        <v>3368.532</v>
      </c>
      <c r="H250" s="94">
        <v>0</v>
      </c>
      <c r="I250" s="94">
        <f t="shared" si="8"/>
        <v>0</v>
      </c>
    </row>
    <row r="251" spans="1:9" ht="51" customHeight="1" outlineLevel="1">
      <c r="A251" s="78" t="s">
        <v>316</v>
      </c>
      <c r="B251" s="18" t="s">
        <v>46</v>
      </c>
      <c r="C251" s="18" t="s">
        <v>94</v>
      </c>
      <c r="D251" s="18" t="s">
        <v>315</v>
      </c>
      <c r="E251" s="38">
        <v>0</v>
      </c>
      <c r="F251" s="48"/>
      <c r="G251" s="94">
        <f>SUM(G252:G255)</f>
        <v>1388.67</v>
      </c>
      <c r="H251" s="94">
        <f>SUM(H252:H255)</f>
        <v>1038.67</v>
      </c>
      <c r="I251" s="94">
        <f t="shared" si="8"/>
        <v>74.79602785398978</v>
      </c>
    </row>
    <row r="252" spans="1:9" ht="33" customHeight="1" outlineLevel="1">
      <c r="A252" s="78" t="s">
        <v>190</v>
      </c>
      <c r="B252" s="18" t="s">
        <v>46</v>
      </c>
      <c r="C252" s="18" t="s">
        <v>94</v>
      </c>
      <c r="D252" s="18" t="s">
        <v>315</v>
      </c>
      <c r="E252" s="38">
        <v>0</v>
      </c>
      <c r="F252" s="48">
        <v>600</v>
      </c>
      <c r="G252" s="94">
        <v>23.82</v>
      </c>
      <c r="H252" s="94">
        <v>0</v>
      </c>
      <c r="I252" s="94">
        <f t="shared" si="8"/>
        <v>0</v>
      </c>
    </row>
    <row r="253" spans="1:9" ht="16.5" customHeight="1" outlineLevel="1">
      <c r="A253" s="78" t="s">
        <v>192</v>
      </c>
      <c r="B253" s="18" t="s">
        <v>46</v>
      </c>
      <c r="C253" s="18" t="s">
        <v>94</v>
      </c>
      <c r="D253" s="18" t="s">
        <v>315</v>
      </c>
      <c r="E253" s="38">
        <v>0</v>
      </c>
      <c r="F253" s="48">
        <v>500</v>
      </c>
      <c r="G253" s="94">
        <f>42.31</f>
        <v>42.31</v>
      </c>
      <c r="H253" s="94">
        <v>42.31</v>
      </c>
      <c r="I253" s="94">
        <f t="shared" si="8"/>
        <v>100</v>
      </c>
    </row>
    <row r="254" spans="1:9" ht="47.25" customHeight="1" outlineLevel="1">
      <c r="A254" s="78" t="s">
        <v>312</v>
      </c>
      <c r="B254" s="18" t="s">
        <v>46</v>
      </c>
      <c r="C254" s="18" t="s">
        <v>94</v>
      </c>
      <c r="D254" s="18" t="s">
        <v>315</v>
      </c>
      <c r="E254" s="38">
        <v>0</v>
      </c>
      <c r="F254" s="48">
        <v>600</v>
      </c>
      <c r="G254" s="94">
        <v>476.18</v>
      </c>
      <c r="H254" s="94">
        <v>150</v>
      </c>
      <c r="I254" s="94">
        <f t="shared" si="8"/>
        <v>31.500693015246334</v>
      </c>
    </row>
    <row r="255" spans="1:9" ht="19.5" customHeight="1" outlineLevel="1">
      <c r="A255" s="78" t="s">
        <v>192</v>
      </c>
      <c r="B255" s="18" t="s">
        <v>46</v>
      </c>
      <c r="C255" s="18" t="s">
        <v>94</v>
      </c>
      <c r="D255" s="18" t="s">
        <v>315</v>
      </c>
      <c r="E255" s="38">
        <v>0</v>
      </c>
      <c r="F255" s="48">
        <v>500</v>
      </c>
      <c r="G255" s="94">
        <v>846.36</v>
      </c>
      <c r="H255" s="94">
        <v>846.36</v>
      </c>
      <c r="I255" s="94">
        <f t="shared" si="8"/>
        <v>100</v>
      </c>
    </row>
    <row r="256" spans="1:9" ht="43.5" customHeight="1" outlineLevel="1">
      <c r="A256" s="78" t="s">
        <v>225</v>
      </c>
      <c r="B256" s="18" t="s">
        <v>46</v>
      </c>
      <c r="C256" s="18" t="s">
        <v>94</v>
      </c>
      <c r="D256" s="18" t="s">
        <v>5</v>
      </c>
      <c r="E256" s="38">
        <v>0</v>
      </c>
      <c r="F256" s="48"/>
      <c r="G256" s="94">
        <f>SUM(G257)</f>
        <v>100</v>
      </c>
      <c r="H256" s="94">
        <f>SUM(H257)</f>
        <v>26.58</v>
      </c>
      <c r="I256" s="94">
        <f t="shared" si="8"/>
        <v>26.58</v>
      </c>
    </row>
    <row r="257" spans="1:9" ht="33" customHeight="1" outlineLevel="1">
      <c r="A257" s="78" t="s">
        <v>190</v>
      </c>
      <c r="B257" s="18" t="s">
        <v>46</v>
      </c>
      <c r="C257" s="18" t="s">
        <v>94</v>
      </c>
      <c r="D257" s="18" t="s">
        <v>5</v>
      </c>
      <c r="E257" s="38">
        <v>0</v>
      </c>
      <c r="F257" s="48">
        <v>600</v>
      </c>
      <c r="G257" s="94">
        <v>100</v>
      </c>
      <c r="H257" s="94">
        <v>26.58</v>
      </c>
      <c r="I257" s="94">
        <f t="shared" si="8"/>
        <v>26.58</v>
      </c>
    </row>
    <row r="258" spans="1:9" ht="50.25" customHeight="1" outlineLevel="1">
      <c r="A258" s="83" t="s">
        <v>184</v>
      </c>
      <c r="B258" s="18" t="s">
        <v>46</v>
      </c>
      <c r="C258" s="18" t="s">
        <v>94</v>
      </c>
      <c r="D258" s="18" t="s">
        <v>4</v>
      </c>
      <c r="E258" s="38">
        <v>0</v>
      </c>
      <c r="F258" s="48"/>
      <c r="G258" s="94">
        <f>SUM(G259)</f>
        <v>150</v>
      </c>
      <c r="H258" s="94">
        <f>SUM(H259)</f>
        <v>76.6716</v>
      </c>
      <c r="I258" s="94">
        <f t="shared" si="8"/>
        <v>51.114399999999996</v>
      </c>
    </row>
    <row r="259" spans="1:9" ht="32.25" customHeight="1" outlineLevel="1">
      <c r="A259" s="78" t="s">
        <v>190</v>
      </c>
      <c r="B259" s="18" t="s">
        <v>46</v>
      </c>
      <c r="C259" s="18" t="s">
        <v>94</v>
      </c>
      <c r="D259" s="18" t="s">
        <v>4</v>
      </c>
      <c r="E259" s="38">
        <v>0</v>
      </c>
      <c r="F259" s="48">
        <v>600</v>
      </c>
      <c r="G259" s="94">
        <f>200-50</f>
        <v>150</v>
      </c>
      <c r="H259" s="94">
        <v>76.6716</v>
      </c>
      <c r="I259" s="94">
        <f t="shared" si="8"/>
        <v>51.114399999999996</v>
      </c>
    </row>
    <row r="260" spans="1:9" ht="66" customHeight="1" outlineLevel="1">
      <c r="A260" s="78" t="s">
        <v>257</v>
      </c>
      <c r="B260" s="18" t="s">
        <v>46</v>
      </c>
      <c r="C260" s="18" t="s">
        <v>94</v>
      </c>
      <c r="D260" s="18" t="s">
        <v>20</v>
      </c>
      <c r="E260" s="38">
        <v>0</v>
      </c>
      <c r="F260" s="29"/>
      <c r="G260" s="94">
        <f>SUM(G261)</f>
        <v>150.5</v>
      </c>
      <c r="H260" s="94">
        <f>SUM(H261)</f>
        <v>73.026</v>
      </c>
      <c r="I260" s="94">
        <f t="shared" si="8"/>
        <v>48.52225913621262</v>
      </c>
    </row>
    <row r="261" spans="1:9" ht="35.25" customHeight="1" outlineLevel="1">
      <c r="A261" s="78" t="s">
        <v>190</v>
      </c>
      <c r="B261" s="18" t="s">
        <v>46</v>
      </c>
      <c r="C261" s="18" t="s">
        <v>94</v>
      </c>
      <c r="D261" s="18" t="s">
        <v>20</v>
      </c>
      <c r="E261" s="38">
        <v>0</v>
      </c>
      <c r="F261" s="29">
        <v>600</v>
      </c>
      <c r="G261" s="94">
        <f>50+25.25+50+25.25</f>
        <v>150.5</v>
      </c>
      <c r="H261" s="94">
        <v>73.026</v>
      </c>
      <c r="I261" s="94">
        <f t="shared" si="8"/>
        <v>48.52225913621262</v>
      </c>
    </row>
    <row r="262" spans="1:9" ht="52.5" customHeight="1" outlineLevel="1">
      <c r="A262" s="83" t="s">
        <v>230</v>
      </c>
      <c r="B262" s="18" t="s">
        <v>46</v>
      </c>
      <c r="C262" s="18" t="s">
        <v>135</v>
      </c>
      <c r="D262" s="18" t="s">
        <v>29</v>
      </c>
      <c r="E262" s="38">
        <v>0</v>
      </c>
      <c r="F262" s="29"/>
      <c r="G262" s="94">
        <f>SUM(G263+G266+G268+G272+G274)</f>
        <v>12173</v>
      </c>
      <c r="H262" s="94">
        <f>SUM(H263+H266+H268+H272+H274)</f>
        <v>9639.335640000001</v>
      </c>
      <c r="I262" s="94">
        <f t="shared" si="8"/>
        <v>79.18619600755773</v>
      </c>
    </row>
    <row r="263" spans="1:9" ht="22.5" customHeight="1" outlineLevel="5">
      <c r="A263" s="83" t="s">
        <v>89</v>
      </c>
      <c r="B263" s="18" t="s">
        <v>46</v>
      </c>
      <c r="C263" s="18" t="s">
        <v>94</v>
      </c>
      <c r="D263" s="18" t="s">
        <v>29</v>
      </c>
      <c r="E263" s="38">
        <v>0</v>
      </c>
      <c r="F263" s="29"/>
      <c r="G263" s="94">
        <f>SUM(G264:G265)</f>
        <v>9087</v>
      </c>
      <c r="H263" s="94">
        <f>SUM(H264:H265)</f>
        <v>7496.27255</v>
      </c>
      <c r="I263" s="94">
        <f t="shared" si="8"/>
        <v>82.49447067238911</v>
      </c>
    </row>
    <row r="264" spans="1:9" ht="34.5" customHeight="1" outlineLevel="3">
      <c r="A264" s="78" t="s">
        <v>190</v>
      </c>
      <c r="B264" s="18" t="s">
        <v>46</v>
      </c>
      <c r="C264" s="18" t="s">
        <v>94</v>
      </c>
      <c r="D264" s="18" t="s">
        <v>29</v>
      </c>
      <c r="E264" s="38">
        <v>0</v>
      </c>
      <c r="F264" s="29">
        <v>600</v>
      </c>
      <c r="G264" s="94">
        <f>7214+1000+873</f>
        <v>9087</v>
      </c>
      <c r="H264" s="94">
        <v>7496.27255</v>
      </c>
      <c r="I264" s="94">
        <f t="shared" si="8"/>
        <v>82.49447067238911</v>
      </c>
    </row>
    <row r="265" spans="1:9" ht="33" customHeight="1" outlineLevel="2">
      <c r="A265" s="78" t="s">
        <v>196</v>
      </c>
      <c r="B265" s="18" t="s">
        <v>46</v>
      </c>
      <c r="C265" s="18" t="s">
        <v>94</v>
      </c>
      <c r="D265" s="18" t="s">
        <v>29</v>
      </c>
      <c r="E265" s="38">
        <v>0</v>
      </c>
      <c r="F265" s="29">
        <v>600</v>
      </c>
      <c r="G265" s="94">
        <v>0</v>
      </c>
      <c r="H265" s="94">
        <v>0</v>
      </c>
      <c r="I265" s="94">
        <v>0</v>
      </c>
    </row>
    <row r="266" spans="1:9" ht="15.75" outlineLevel="5">
      <c r="A266" s="83" t="s">
        <v>90</v>
      </c>
      <c r="B266" s="18" t="s">
        <v>46</v>
      </c>
      <c r="C266" s="18" t="s">
        <v>94</v>
      </c>
      <c r="D266" s="18" t="s">
        <v>29</v>
      </c>
      <c r="E266" s="38">
        <v>0</v>
      </c>
      <c r="F266" s="48"/>
      <c r="G266" s="94">
        <f>SUM(G267)</f>
        <v>862</v>
      </c>
      <c r="H266" s="94">
        <f>SUM(H267)</f>
        <v>483.14963</v>
      </c>
      <c r="I266" s="94">
        <f t="shared" si="8"/>
        <v>56.04984106728538</v>
      </c>
    </row>
    <row r="267" spans="1:9" ht="33.75" customHeight="1" outlineLevel="1">
      <c r="A267" s="78" t="s">
        <v>190</v>
      </c>
      <c r="B267" s="18" t="s">
        <v>46</v>
      </c>
      <c r="C267" s="18" t="s">
        <v>94</v>
      </c>
      <c r="D267" s="18" t="s">
        <v>29</v>
      </c>
      <c r="E267" s="38">
        <v>0</v>
      </c>
      <c r="F267" s="48">
        <v>600</v>
      </c>
      <c r="G267" s="94">
        <f>862</f>
        <v>862</v>
      </c>
      <c r="H267" s="94">
        <v>483.14963</v>
      </c>
      <c r="I267" s="94">
        <f aca="true" t="shared" si="9" ref="I267:I329">SUM(H267/G267)*100</f>
        <v>56.04984106728538</v>
      </c>
    </row>
    <row r="268" spans="1:9" ht="15.75" outlineLevel="2">
      <c r="A268" s="83" t="s">
        <v>91</v>
      </c>
      <c r="B268" s="18" t="s">
        <v>46</v>
      </c>
      <c r="C268" s="18" t="s">
        <v>94</v>
      </c>
      <c r="D268" s="18" t="s">
        <v>29</v>
      </c>
      <c r="E268" s="38">
        <v>0</v>
      </c>
      <c r="F268" s="48"/>
      <c r="G268" s="94">
        <f>SUM(G269:G270)</f>
        <v>1069</v>
      </c>
      <c r="H268" s="94">
        <f>SUM(H269:H270)</f>
        <v>730.09142</v>
      </c>
      <c r="I268" s="94">
        <f t="shared" si="9"/>
        <v>68.29667165575304</v>
      </c>
    </row>
    <row r="269" spans="1:9" ht="32.25" customHeight="1" outlineLevel="5">
      <c r="A269" s="78" t="s">
        <v>190</v>
      </c>
      <c r="B269" s="18" t="s">
        <v>46</v>
      </c>
      <c r="C269" s="18" t="s">
        <v>94</v>
      </c>
      <c r="D269" s="18" t="s">
        <v>29</v>
      </c>
      <c r="E269" s="38">
        <v>0</v>
      </c>
      <c r="F269" s="48">
        <v>600</v>
      </c>
      <c r="G269" s="94">
        <f>1069</f>
        <v>1069</v>
      </c>
      <c r="H269" s="94">
        <v>730.09142</v>
      </c>
      <c r="I269" s="94">
        <f t="shared" si="9"/>
        <v>68.29667165575304</v>
      </c>
    </row>
    <row r="270" spans="1:9" ht="31.5" outlineLevel="3">
      <c r="A270" s="83" t="s">
        <v>181</v>
      </c>
      <c r="B270" s="18" t="s">
        <v>46</v>
      </c>
      <c r="C270" s="18" t="s">
        <v>94</v>
      </c>
      <c r="D270" s="18" t="s">
        <v>29</v>
      </c>
      <c r="E270" s="38">
        <v>0</v>
      </c>
      <c r="F270" s="48"/>
      <c r="G270" s="94">
        <f>SUM(G271)</f>
        <v>0</v>
      </c>
      <c r="H270" s="94">
        <f>SUM(H271)</f>
        <v>0</v>
      </c>
      <c r="I270" s="94">
        <v>0</v>
      </c>
    </row>
    <row r="271" spans="1:9" ht="64.5" customHeight="1" outlineLevel="3">
      <c r="A271" s="83" t="s">
        <v>180</v>
      </c>
      <c r="B271" s="18" t="s">
        <v>46</v>
      </c>
      <c r="C271" s="18" t="s">
        <v>94</v>
      </c>
      <c r="D271" s="18" t="s">
        <v>29</v>
      </c>
      <c r="E271" s="38">
        <v>0</v>
      </c>
      <c r="F271" s="48">
        <v>600</v>
      </c>
      <c r="G271" s="94">
        <v>0</v>
      </c>
      <c r="H271" s="94">
        <v>0</v>
      </c>
      <c r="I271" s="94">
        <v>0</v>
      </c>
    </row>
    <row r="272" spans="1:9" ht="15.75" outlineLevel="3">
      <c r="A272" s="83" t="s">
        <v>92</v>
      </c>
      <c r="B272" s="18" t="s">
        <v>46</v>
      </c>
      <c r="C272" s="18" t="s">
        <v>95</v>
      </c>
      <c r="D272" s="18" t="s">
        <v>29</v>
      </c>
      <c r="E272" s="38">
        <v>0</v>
      </c>
      <c r="F272" s="48"/>
      <c r="G272" s="94">
        <f>SUM(G273)</f>
        <v>309</v>
      </c>
      <c r="H272" s="94">
        <f>SUM(H273)</f>
        <v>179.37</v>
      </c>
      <c r="I272" s="94">
        <f t="shared" si="9"/>
        <v>58.04854368932039</v>
      </c>
    </row>
    <row r="273" spans="1:9" ht="32.25" customHeight="1" outlineLevel="3">
      <c r="A273" s="78" t="s">
        <v>190</v>
      </c>
      <c r="B273" s="18" t="s">
        <v>46</v>
      </c>
      <c r="C273" s="18" t="s">
        <v>95</v>
      </c>
      <c r="D273" s="18" t="s">
        <v>29</v>
      </c>
      <c r="E273" s="38">
        <v>0</v>
      </c>
      <c r="F273" s="48">
        <v>600</v>
      </c>
      <c r="G273" s="94">
        <f>309</f>
        <v>309</v>
      </c>
      <c r="H273" s="94">
        <v>179.37</v>
      </c>
      <c r="I273" s="94">
        <f t="shared" si="9"/>
        <v>58.04854368932039</v>
      </c>
    </row>
    <row r="274" spans="1:9" ht="21.75" customHeight="1">
      <c r="A274" s="83" t="s">
        <v>93</v>
      </c>
      <c r="B274" s="18" t="s">
        <v>46</v>
      </c>
      <c r="C274" s="18" t="s">
        <v>96</v>
      </c>
      <c r="D274" s="18" t="s">
        <v>29</v>
      </c>
      <c r="E274" s="38">
        <v>0</v>
      </c>
      <c r="F274" s="48"/>
      <c r="G274" s="94">
        <f>SUM(G275)</f>
        <v>846</v>
      </c>
      <c r="H274" s="94">
        <f>SUM(H275)</f>
        <v>750.45204</v>
      </c>
      <c r="I274" s="94">
        <f t="shared" si="9"/>
        <v>88.70591489361702</v>
      </c>
    </row>
    <row r="275" spans="1:9" ht="32.25" customHeight="1" outlineLevel="5">
      <c r="A275" s="78" t="s">
        <v>190</v>
      </c>
      <c r="B275" s="18" t="s">
        <v>46</v>
      </c>
      <c r="C275" s="18" t="s">
        <v>96</v>
      </c>
      <c r="D275" s="18" t="s">
        <v>29</v>
      </c>
      <c r="E275" s="38">
        <v>0</v>
      </c>
      <c r="F275" s="48">
        <v>600</v>
      </c>
      <c r="G275" s="94">
        <f>846</f>
        <v>846</v>
      </c>
      <c r="H275" s="94">
        <v>750.45204</v>
      </c>
      <c r="I275" s="94">
        <f t="shared" si="9"/>
        <v>88.70591489361702</v>
      </c>
    </row>
    <row r="276" spans="1:9" ht="19.5" customHeight="1" outlineLevel="5">
      <c r="A276" s="78" t="s">
        <v>298</v>
      </c>
      <c r="B276" s="18" t="s">
        <v>46</v>
      </c>
      <c r="C276" s="18" t="s">
        <v>299</v>
      </c>
      <c r="D276" s="18"/>
      <c r="E276" s="38"/>
      <c r="F276" s="48"/>
      <c r="G276" s="94">
        <f>SUM(G277)</f>
        <v>5600</v>
      </c>
      <c r="H276" s="94">
        <f>SUM(H277)</f>
        <v>0</v>
      </c>
      <c r="I276" s="94">
        <f t="shared" si="9"/>
        <v>0</v>
      </c>
    </row>
    <row r="277" spans="1:9" ht="18.75" customHeight="1" outlineLevel="5">
      <c r="A277" s="78" t="s">
        <v>300</v>
      </c>
      <c r="B277" s="18" t="s">
        <v>46</v>
      </c>
      <c r="C277" s="18" t="s">
        <v>301</v>
      </c>
      <c r="D277" s="18"/>
      <c r="E277" s="38"/>
      <c r="F277" s="48"/>
      <c r="G277" s="94">
        <f>SUM(G280)</f>
        <v>5600</v>
      </c>
      <c r="H277" s="94">
        <f>SUM(H280)</f>
        <v>0</v>
      </c>
      <c r="I277" s="94">
        <f t="shared" si="9"/>
        <v>0</v>
      </c>
    </row>
    <row r="278" spans="1:9" ht="50.25" customHeight="1" outlineLevel="5">
      <c r="A278" s="78" t="s">
        <v>260</v>
      </c>
      <c r="B278" s="18" t="s">
        <v>46</v>
      </c>
      <c r="C278" s="18" t="s">
        <v>301</v>
      </c>
      <c r="D278" s="18" t="s">
        <v>6</v>
      </c>
      <c r="E278" s="38">
        <v>0</v>
      </c>
      <c r="F278" s="48"/>
      <c r="G278" s="94">
        <f>SUM(G279)</f>
        <v>5600</v>
      </c>
      <c r="H278" s="94">
        <f>SUM(H279)</f>
        <v>0</v>
      </c>
      <c r="I278" s="94">
        <f t="shared" si="9"/>
        <v>0</v>
      </c>
    </row>
    <row r="279" spans="1:9" ht="51" customHeight="1" outlineLevel="5">
      <c r="A279" s="78" t="s">
        <v>277</v>
      </c>
      <c r="B279" s="18" t="s">
        <v>46</v>
      </c>
      <c r="C279" s="18" t="s">
        <v>301</v>
      </c>
      <c r="D279" s="18" t="s">
        <v>6</v>
      </c>
      <c r="E279" s="38">
        <v>3</v>
      </c>
      <c r="F279" s="29"/>
      <c r="G279" s="94">
        <f>SUM(G280:G280)</f>
        <v>5600</v>
      </c>
      <c r="H279" s="94">
        <f>SUM(H280:H280)</f>
        <v>0</v>
      </c>
      <c r="I279" s="94">
        <f t="shared" si="9"/>
        <v>0</v>
      </c>
    </row>
    <row r="280" spans="1:9" ht="34.5" customHeight="1" outlineLevel="5">
      <c r="A280" s="78" t="s">
        <v>195</v>
      </c>
      <c r="B280" s="18" t="s">
        <v>46</v>
      </c>
      <c r="C280" s="18" t="s">
        <v>301</v>
      </c>
      <c r="D280" s="18" t="s">
        <v>6</v>
      </c>
      <c r="E280" s="38">
        <v>3</v>
      </c>
      <c r="F280" s="29">
        <v>400</v>
      </c>
      <c r="G280" s="94">
        <f>1300+1500+200+1300+1300</f>
        <v>5600</v>
      </c>
      <c r="H280" s="94">
        <v>0</v>
      </c>
      <c r="I280" s="94">
        <f t="shared" si="9"/>
        <v>0</v>
      </c>
    </row>
    <row r="281" spans="1:9" ht="15.75" outlineLevel="5">
      <c r="A281" s="78" t="s">
        <v>97</v>
      </c>
      <c r="B281" s="18" t="s">
        <v>46</v>
      </c>
      <c r="C281" s="18" t="s">
        <v>204</v>
      </c>
      <c r="D281" s="18"/>
      <c r="E281" s="38"/>
      <c r="F281" s="29"/>
      <c r="G281" s="94">
        <f>SUM(G282+G285+G296)</f>
        <v>20912.548</v>
      </c>
      <c r="H281" s="94">
        <f>SUM(H282+H285+H296)</f>
        <v>16680.500340000002</v>
      </c>
      <c r="I281" s="94">
        <f t="shared" si="9"/>
        <v>79.76311800934063</v>
      </c>
    </row>
    <row r="282" spans="1:9" ht="47.25" outlineLevel="5">
      <c r="A282" s="78" t="s">
        <v>99</v>
      </c>
      <c r="B282" s="18" t="s">
        <v>46</v>
      </c>
      <c r="C282" s="18" t="s">
        <v>100</v>
      </c>
      <c r="D282" s="18"/>
      <c r="E282" s="38"/>
      <c r="F282" s="29"/>
      <c r="G282" s="94">
        <f>SUM(G283)</f>
        <v>2200</v>
      </c>
      <c r="H282" s="94">
        <f>SUM(H283)</f>
        <v>1877.59198</v>
      </c>
      <c r="I282" s="94">
        <f t="shared" si="9"/>
        <v>85.34509</v>
      </c>
    </row>
    <row r="283" spans="1:9" ht="37.5" customHeight="1" outlineLevel="5">
      <c r="A283" s="78" t="s">
        <v>189</v>
      </c>
      <c r="B283" s="18" t="s">
        <v>46</v>
      </c>
      <c r="C283" s="18" t="s">
        <v>100</v>
      </c>
      <c r="D283" s="18" t="s">
        <v>17</v>
      </c>
      <c r="E283" s="38">
        <v>0</v>
      </c>
      <c r="F283" s="29"/>
      <c r="G283" s="94">
        <f>SUM(G284)</f>
        <v>2200</v>
      </c>
      <c r="H283" s="94">
        <f>SUM(H284)</f>
        <v>1877.59198</v>
      </c>
      <c r="I283" s="94">
        <f t="shared" si="9"/>
        <v>85.34509</v>
      </c>
    </row>
    <row r="284" spans="1:9" ht="17.25" customHeight="1" outlineLevel="5">
      <c r="A284" s="78" t="s">
        <v>191</v>
      </c>
      <c r="B284" s="18" t="s">
        <v>46</v>
      </c>
      <c r="C284" s="18" t="s">
        <v>100</v>
      </c>
      <c r="D284" s="18" t="s">
        <v>17</v>
      </c>
      <c r="E284" s="38">
        <v>0</v>
      </c>
      <c r="F284" s="29">
        <v>300</v>
      </c>
      <c r="G284" s="94">
        <f>1400+600+200</f>
        <v>2200</v>
      </c>
      <c r="H284" s="94">
        <v>1877.59198</v>
      </c>
      <c r="I284" s="94">
        <f t="shared" si="9"/>
        <v>85.34509</v>
      </c>
    </row>
    <row r="285" spans="1:9" ht="15.75" outlineLevel="5">
      <c r="A285" s="78" t="s">
        <v>102</v>
      </c>
      <c r="B285" s="18" t="s">
        <v>46</v>
      </c>
      <c r="C285" s="18" t="s">
        <v>104</v>
      </c>
      <c r="D285" s="18"/>
      <c r="E285" s="38"/>
      <c r="F285" s="29"/>
      <c r="G285" s="94">
        <f>SUM(G286+G288)</f>
        <v>13309.447999999999</v>
      </c>
      <c r="H285" s="94">
        <f>SUM(H286+H288)</f>
        <v>10544.066310000002</v>
      </c>
      <c r="I285" s="94">
        <f t="shared" si="9"/>
        <v>79.22241636167033</v>
      </c>
    </row>
    <row r="286" spans="1:9" ht="101.25" customHeight="1" outlineLevel="5">
      <c r="A286" s="78" t="s">
        <v>226</v>
      </c>
      <c r="B286" s="18" t="s">
        <v>46</v>
      </c>
      <c r="C286" s="18" t="s">
        <v>104</v>
      </c>
      <c r="D286" s="18" t="s">
        <v>8</v>
      </c>
      <c r="E286" s="38">
        <v>0</v>
      </c>
      <c r="F286" s="29"/>
      <c r="G286" s="94">
        <f>SUM(G287)</f>
        <v>500</v>
      </c>
      <c r="H286" s="94">
        <f>SUM(H287)</f>
        <v>290.097</v>
      </c>
      <c r="I286" s="94">
        <f t="shared" si="9"/>
        <v>58.0194</v>
      </c>
    </row>
    <row r="287" spans="1:9" ht="17.25" customHeight="1" outlineLevel="5">
      <c r="A287" s="78" t="s">
        <v>191</v>
      </c>
      <c r="B287" s="18" t="s">
        <v>46</v>
      </c>
      <c r="C287" s="18" t="s">
        <v>104</v>
      </c>
      <c r="D287" s="18" t="s">
        <v>8</v>
      </c>
      <c r="E287" s="38">
        <v>0</v>
      </c>
      <c r="F287" s="29">
        <v>300</v>
      </c>
      <c r="G287" s="94">
        <f>480+20</f>
        <v>500</v>
      </c>
      <c r="H287" s="94">
        <v>290.097</v>
      </c>
      <c r="I287" s="94">
        <f t="shared" si="9"/>
        <v>58.0194</v>
      </c>
    </row>
    <row r="288" spans="1:9" ht="36.75" customHeight="1" outlineLevel="5">
      <c r="A288" s="78" t="s">
        <v>189</v>
      </c>
      <c r="B288" s="18" t="s">
        <v>46</v>
      </c>
      <c r="C288" s="18" t="s">
        <v>104</v>
      </c>
      <c r="D288" s="18" t="s">
        <v>17</v>
      </c>
      <c r="E288" s="38">
        <v>0</v>
      </c>
      <c r="F288" s="29"/>
      <c r="G288" s="94">
        <f>SUM(G289+G293+G294+G295)</f>
        <v>12809.447999999999</v>
      </c>
      <c r="H288" s="94">
        <f>SUM(H289+H293+H294+H295)</f>
        <v>10253.969310000002</v>
      </c>
      <c r="I288" s="94">
        <f t="shared" si="9"/>
        <v>80.05004829247913</v>
      </c>
    </row>
    <row r="289" spans="1:9" ht="145.5" customHeight="1" outlineLevel="5">
      <c r="A289" s="78" t="s">
        <v>124</v>
      </c>
      <c r="B289" s="18" t="s">
        <v>46</v>
      </c>
      <c r="C289" s="18" t="s">
        <v>104</v>
      </c>
      <c r="D289" s="18" t="s">
        <v>17</v>
      </c>
      <c r="E289" s="38">
        <v>0</v>
      </c>
      <c r="F289" s="29"/>
      <c r="G289" s="94">
        <f>SUM(G290:G292)</f>
        <v>8262.047999999999</v>
      </c>
      <c r="H289" s="94">
        <f>SUM(H290:H292)</f>
        <v>7421.94861</v>
      </c>
      <c r="I289" s="94">
        <f t="shared" si="9"/>
        <v>89.83182632199669</v>
      </c>
    </row>
    <row r="290" spans="1:9" ht="18" customHeight="1" outlineLevel="5">
      <c r="A290" s="78" t="s">
        <v>191</v>
      </c>
      <c r="B290" s="18" t="s">
        <v>46</v>
      </c>
      <c r="C290" s="18" t="s">
        <v>104</v>
      </c>
      <c r="D290" s="18" t="s">
        <v>17</v>
      </c>
      <c r="E290" s="38">
        <v>0</v>
      </c>
      <c r="F290" s="29">
        <v>300</v>
      </c>
      <c r="G290" s="94">
        <f>4003.461+424.8+312.599+1485.148+276.78+874.21-249.689</f>
        <v>7127.308999999999</v>
      </c>
      <c r="H290" s="94">
        <v>6804.93435</v>
      </c>
      <c r="I290" s="94">
        <f t="shared" si="9"/>
        <v>95.47690930756617</v>
      </c>
    </row>
    <row r="291" spans="1:9" ht="75" customHeight="1" outlineLevel="5">
      <c r="A291" s="78" t="s">
        <v>116</v>
      </c>
      <c r="B291" s="18" t="s">
        <v>46</v>
      </c>
      <c r="C291" s="18" t="s">
        <v>104</v>
      </c>
      <c r="D291" s="18" t="s">
        <v>17</v>
      </c>
      <c r="E291" s="38">
        <v>0</v>
      </c>
      <c r="F291" s="29">
        <v>100</v>
      </c>
      <c r="G291" s="94">
        <f>643.2+79.756-206.224-3+225</f>
        <v>738.732</v>
      </c>
      <c r="H291" s="94">
        <v>535.6912</v>
      </c>
      <c r="I291" s="94">
        <f t="shared" si="9"/>
        <v>72.514958063276</v>
      </c>
    </row>
    <row r="292" spans="1:9" ht="31.5" outlineLevel="5">
      <c r="A292" s="78" t="s">
        <v>117</v>
      </c>
      <c r="B292" s="18" t="s">
        <v>46</v>
      </c>
      <c r="C292" s="18" t="s">
        <v>104</v>
      </c>
      <c r="D292" s="18" t="s">
        <v>17</v>
      </c>
      <c r="E292" s="38">
        <v>0</v>
      </c>
      <c r="F292" s="29">
        <v>200</v>
      </c>
      <c r="G292" s="94">
        <f>87.7+81.083-106.375+14.852+3+2.768+8.742+304.237</f>
        <v>396.00700000000006</v>
      </c>
      <c r="H292" s="94">
        <v>81.32306</v>
      </c>
      <c r="I292" s="94">
        <f t="shared" si="9"/>
        <v>20.535763256710105</v>
      </c>
    </row>
    <row r="293" spans="1:9" ht="111.75" customHeight="1" outlineLevel="5">
      <c r="A293" s="78" t="s">
        <v>125</v>
      </c>
      <c r="B293" s="18" t="s">
        <v>46</v>
      </c>
      <c r="C293" s="18" t="s">
        <v>104</v>
      </c>
      <c r="D293" s="18" t="s">
        <v>17</v>
      </c>
      <c r="E293" s="38">
        <v>0</v>
      </c>
      <c r="F293" s="29">
        <v>300</v>
      </c>
      <c r="G293" s="94">
        <f>342.7+387.5+489.1</f>
        <v>1219.3000000000002</v>
      </c>
      <c r="H293" s="94">
        <v>780.37717</v>
      </c>
      <c r="I293" s="94">
        <f t="shared" si="9"/>
        <v>64.00206429918805</v>
      </c>
    </row>
    <row r="294" spans="1:9" ht="94.5" customHeight="1" outlineLevel="5">
      <c r="A294" s="78" t="s">
        <v>126</v>
      </c>
      <c r="B294" s="18" t="s">
        <v>46</v>
      </c>
      <c r="C294" s="18" t="s">
        <v>104</v>
      </c>
      <c r="D294" s="18" t="s">
        <v>17</v>
      </c>
      <c r="E294" s="38">
        <v>0</v>
      </c>
      <c r="F294" s="29">
        <v>300</v>
      </c>
      <c r="G294" s="94">
        <f>18.6+36.6</f>
        <v>55.2</v>
      </c>
      <c r="H294" s="94">
        <v>3.02078</v>
      </c>
      <c r="I294" s="94">
        <f t="shared" si="9"/>
        <v>5.4724275362318835</v>
      </c>
    </row>
    <row r="295" spans="1:9" ht="129.75" customHeight="1" outlineLevel="5">
      <c r="A295" s="78" t="s">
        <v>127</v>
      </c>
      <c r="B295" s="18" t="s">
        <v>46</v>
      </c>
      <c r="C295" s="18" t="s">
        <v>104</v>
      </c>
      <c r="D295" s="18" t="s">
        <v>17</v>
      </c>
      <c r="E295" s="38">
        <v>0</v>
      </c>
      <c r="F295" s="29">
        <v>300</v>
      </c>
      <c r="G295" s="94">
        <f>2485.3+787.6</f>
        <v>3272.9</v>
      </c>
      <c r="H295" s="94">
        <v>2048.62275</v>
      </c>
      <c r="I295" s="94">
        <f t="shared" si="9"/>
        <v>62.59350270402395</v>
      </c>
    </row>
    <row r="296" spans="1:9" ht="15.75">
      <c r="A296" s="78" t="s">
        <v>103</v>
      </c>
      <c r="B296" s="18" t="s">
        <v>46</v>
      </c>
      <c r="C296" s="18" t="s">
        <v>105</v>
      </c>
      <c r="D296" s="18"/>
      <c r="E296" s="38"/>
      <c r="F296" s="29"/>
      <c r="G296" s="94">
        <f>SUM(G297)</f>
        <v>5403.1</v>
      </c>
      <c r="H296" s="94">
        <f>SUM(H297)</f>
        <v>4258.84205</v>
      </c>
      <c r="I296" s="94">
        <f t="shared" si="9"/>
        <v>78.82219559141974</v>
      </c>
    </row>
    <row r="297" spans="1:9" ht="33" customHeight="1">
      <c r="A297" s="78" t="s">
        <v>189</v>
      </c>
      <c r="B297" s="18" t="s">
        <v>46</v>
      </c>
      <c r="C297" s="18" t="s">
        <v>105</v>
      </c>
      <c r="D297" s="18" t="s">
        <v>17</v>
      </c>
      <c r="E297" s="38">
        <v>0</v>
      </c>
      <c r="F297" s="29"/>
      <c r="G297" s="94">
        <f>SUM(G298+G301)</f>
        <v>5403.1</v>
      </c>
      <c r="H297" s="94">
        <f>SUM(H298+H301)</f>
        <v>4258.84205</v>
      </c>
      <c r="I297" s="94">
        <f t="shared" si="9"/>
        <v>78.82219559141974</v>
      </c>
    </row>
    <row r="298" spans="1:9" ht="204.75" customHeight="1">
      <c r="A298" s="78" t="s">
        <v>128</v>
      </c>
      <c r="B298" s="18" t="s">
        <v>46</v>
      </c>
      <c r="C298" s="18" t="s">
        <v>105</v>
      </c>
      <c r="D298" s="18" t="s">
        <v>17</v>
      </c>
      <c r="E298" s="38">
        <v>0</v>
      </c>
      <c r="F298" s="29"/>
      <c r="G298" s="94">
        <f>SUM(G299:G300)</f>
        <v>1084.9</v>
      </c>
      <c r="H298" s="94">
        <f>SUM(H299:H300)</f>
        <v>452.14205</v>
      </c>
      <c r="I298" s="94">
        <f t="shared" si="9"/>
        <v>41.67591943957968</v>
      </c>
    </row>
    <row r="299" spans="1:9" ht="15.75">
      <c r="A299" s="78" t="s">
        <v>101</v>
      </c>
      <c r="B299" s="18" t="s">
        <v>46</v>
      </c>
      <c r="C299" s="18" t="s">
        <v>105</v>
      </c>
      <c r="D299" s="18" t="s">
        <v>17</v>
      </c>
      <c r="E299" s="38">
        <v>0</v>
      </c>
      <c r="F299" s="29">
        <v>300</v>
      </c>
      <c r="G299" s="94">
        <f>1174.75-100.55-0.04</f>
        <v>1074.16</v>
      </c>
      <c r="H299" s="94">
        <v>450.57872</v>
      </c>
      <c r="I299" s="94">
        <f t="shared" si="9"/>
        <v>41.94707678558129</v>
      </c>
    </row>
    <row r="300" spans="1:9" ht="31.5">
      <c r="A300" s="78" t="s">
        <v>117</v>
      </c>
      <c r="B300" s="18" t="s">
        <v>46</v>
      </c>
      <c r="C300" s="18" t="s">
        <v>105</v>
      </c>
      <c r="D300" s="18" t="s">
        <v>17</v>
      </c>
      <c r="E300" s="38">
        <v>0</v>
      </c>
      <c r="F300" s="29">
        <v>200</v>
      </c>
      <c r="G300" s="94">
        <f>11.75-1.05+0.04</f>
        <v>10.739999999999998</v>
      </c>
      <c r="H300" s="94">
        <v>1.56333</v>
      </c>
      <c r="I300" s="94">
        <f t="shared" si="9"/>
        <v>14.556145251396652</v>
      </c>
    </row>
    <row r="301" spans="1:9" ht="163.5" customHeight="1">
      <c r="A301" s="78" t="s">
        <v>129</v>
      </c>
      <c r="B301" s="18" t="s">
        <v>46</v>
      </c>
      <c r="C301" s="18" t="s">
        <v>105</v>
      </c>
      <c r="D301" s="18" t="s">
        <v>17</v>
      </c>
      <c r="E301" s="38">
        <v>0</v>
      </c>
      <c r="F301" s="29"/>
      <c r="G301" s="94">
        <f>SUM(G302:G303)</f>
        <v>4318.2</v>
      </c>
      <c r="H301" s="94">
        <f>SUM(H302:H303)</f>
        <v>3806.7</v>
      </c>
      <c r="I301" s="94">
        <f t="shared" si="9"/>
        <v>88.15478671668751</v>
      </c>
    </row>
    <row r="302" spans="1:9" ht="20.25" customHeight="1">
      <c r="A302" s="78" t="s">
        <v>130</v>
      </c>
      <c r="B302" s="18" t="s">
        <v>46</v>
      </c>
      <c r="C302" s="18" t="s">
        <v>105</v>
      </c>
      <c r="D302" s="18" t="s">
        <v>17</v>
      </c>
      <c r="E302" s="38">
        <v>0</v>
      </c>
      <c r="F302" s="29">
        <v>300</v>
      </c>
      <c r="G302" s="94">
        <f>2031.6+445.9+1226.3</f>
        <v>3703.8</v>
      </c>
      <c r="H302" s="94">
        <v>3258</v>
      </c>
      <c r="I302" s="94">
        <f t="shared" si="9"/>
        <v>87.96371294346346</v>
      </c>
    </row>
    <row r="303" spans="1:9" ht="48.75" customHeight="1">
      <c r="A303" s="78" t="s">
        <v>131</v>
      </c>
      <c r="B303" s="18" t="s">
        <v>46</v>
      </c>
      <c r="C303" s="18" t="s">
        <v>105</v>
      </c>
      <c r="D303" s="18" t="s">
        <v>17</v>
      </c>
      <c r="E303" s="38">
        <v>0</v>
      </c>
      <c r="F303" s="29">
        <v>300</v>
      </c>
      <c r="G303" s="94">
        <f>342.9+129.3+142.2</f>
        <v>614.4</v>
      </c>
      <c r="H303" s="94">
        <v>548.7</v>
      </c>
      <c r="I303" s="94">
        <f t="shared" si="9"/>
        <v>89.30664062500001</v>
      </c>
    </row>
    <row r="304" spans="1:9" ht="15.75">
      <c r="A304" s="78" t="s">
        <v>106</v>
      </c>
      <c r="B304" s="18" t="s">
        <v>46</v>
      </c>
      <c r="C304" s="18" t="s">
        <v>161</v>
      </c>
      <c r="D304" s="18"/>
      <c r="E304" s="38"/>
      <c r="F304" s="29"/>
      <c r="G304" s="94">
        <f>SUM(G312+G305)</f>
        <v>3739.66</v>
      </c>
      <c r="H304" s="94">
        <f>SUM(H312+H305)</f>
        <v>1746.91973</v>
      </c>
      <c r="I304" s="94">
        <f t="shared" si="9"/>
        <v>46.7133303562356</v>
      </c>
    </row>
    <row r="305" spans="1:9" ht="15.75">
      <c r="A305" s="78" t="s">
        <v>305</v>
      </c>
      <c r="B305" s="18" t="s">
        <v>46</v>
      </c>
      <c r="C305" s="18" t="s">
        <v>304</v>
      </c>
      <c r="D305" s="18"/>
      <c r="E305" s="38"/>
      <c r="F305" s="29"/>
      <c r="G305" s="94">
        <f>SUM(G306)</f>
        <v>3039.66</v>
      </c>
      <c r="H305" s="94">
        <f>SUM(H306)</f>
        <v>1116.68473</v>
      </c>
      <c r="I305" s="94">
        <f t="shared" si="9"/>
        <v>36.7371590901614</v>
      </c>
    </row>
    <row r="306" spans="1:9" ht="49.5" customHeight="1">
      <c r="A306" s="78" t="s">
        <v>260</v>
      </c>
      <c r="B306" s="18" t="s">
        <v>46</v>
      </c>
      <c r="C306" s="18" t="s">
        <v>304</v>
      </c>
      <c r="D306" s="18" t="s">
        <v>6</v>
      </c>
      <c r="E306" s="38">
        <v>0</v>
      </c>
      <c r="F306" s="48"/>
      <c r="G306" s="94">
        <f>SUM(G307)</f>
        <v>3039.66</v>
      </c>
      <c r="H306" s="94">
        <f>SUM(H307)</f>
        <v>1116.68473</v>
      </c>
      <c r="I306" s="94">
        <f t="shared" si="9"/>
        <v>36.7371590901614</v>
      </c>
    </row>
    <row r="307" spans="1:9" ht="47.25">
      <c r="A307" s="78" t="s">
        <v>277</v>
      </c>
      <c r="B307" s="18" t="s">
        <v>46</v>
      </c>
      <c r="C307" s="18" t="s">
        <v>304</v>
      </c>
      <c r="D307" s="18" t="s">
        <v>6</v>
      </c>
      <c r="E307" s="38">
        <v>3</v>
      </c>
      <c r="F307" s="29"/>
      <c r="G307" s="94">
        <f>SUM(G308:G311)</f>
        <v>3039.66</v>
      </c>
      <c r="H307" s="94">
        <f>SUM(H308:H311)</f>
        <v>1116.68473</v>
      </c>
      <c r="I307" s="94">
        <f t="shared" si="9"/>
        <v>36.7371590901614</v>
      </c>
    </row>
    <row r="308" spans="1:9" ht="47.25">
      <c r="A308" s="78" t="s">
        <v>306</v>
      </c>
      <c r="B308" s="18" t="s">
        <v>46</v>
      </c>
      <c r="C308" s="18" t="s">
        <v>304</v>
      </c>
      <c r="D308" s="18" t="s">
        <v>6</v>
      </c>
      <c r="E308" s="38">
        <v>3</v>
      </c>
      <c r="F308" s="29">
        <v>400</v>
      </c>
      <c r="G308" s="94">
        <f>647-520.89935</f>
        <v>126.10064999999997</v>
      </c>
      <c r="H308" s="94">
        <v>0</v>
      </c>
      <c r="I308" s="94">
        <f t="shared" si="9"/>
        <v>0</v>
      </c>
    </row>
    <row r="309" spans="1:9" ht="47.25">
      <c r="A309" s="78" t="s">
        <v>307</v>
      </c>
      <c r="B309" s="18" t="s">
        <v>46</v>
      </c>
      <c r="C309" s="18" t="s">
        <v>304</v>
      </c>
      <c r="D309" s="18" t="s">
        <v>6</v>
      </c>
      <c r="E309" s="38">
        <v>3</v>
      </c>
      <c r="F309" s="29">
        <v>400</v>
      </c>
      <c r="G309" s="94">
        <f>1942.6-373.89571</f>
        <v>1568.70429</v>
      </c>
      <c r="H309" s="94">
        <v>709.3544</v>
      </c>
      <c r="I309" s="94">
        <f t="shared" si="9"/>
        <v>45.21912794666993</v>
      </c>
    </row>
    <row r="310" spans="1:9" ht="34.5" customHeight="1">
      <c r="A310" s="78" t="s">
        <v>308</v>
      </c>
      <c r="B310" s="18" t="s">
        <v>46</v>
      </c>
      <c r="C310" s="18" t="s">
        <v>304</v>
      </c>
      <c r="D310" s="18" t="s">
        <v>6</v>
      </c>
      <c r="E310" s="38">
        <v>3</v>
      </c>
      <c r="F310" s="29">
        <v>400</v>
      </c>
      <c r="G310" s="94">
        <f>300.06-127.86946</f>
        <v>172.19054</v>
      </c>
      <c r="H310" s="94">
        <v>55.531</v>
      </c>
      <c r="I310" s="94">
        <f t="shared" si="9"/>
        <v>32.24973915524047</v>
      </c>
    </row>
    <row r="311" spans="1:9" ht="34.5" customHeight="1">
      <c r="A311" s="78" t="s">
        <v>190</v>
      </c>
      <c r="B311" s="18" t="s">
        <v>46</v>
      </c>
      <c r="C311" s="18" t="s">
        <v>304</v>
      </c>
      <c r="D311" s="18" t="s">
        <v>6</v>
      </c>
      <c r="E311" s="38">
        <v>3</v>
      </c>
      <c r="F311" s="29">
        <v>600</v>
      </c>
      <c r="G311" s="94">
        <f>1022.66452+150</f>
        <v>1172.66452</v>
      </c>
      <c r="H311" s="94">
        <v>351.79933</v>
      </c>
      <c r="I311" s="94">
        <f t="shared" si="9"/>
        <v>29.999997782827094</v>
      </c>
    </row>
    <row r="312" spans="1:9" ht="28.5" customHeight="1">
      <c r="A312" s="78" t="s">
        <v>310</v>
      </c>
      <c r="B312" s="18" t="s">
        <v>46</v>
      </c>
      <c r="C312" s="18" t="s">
        <v>107</v>
      </c>
      <c r="D312" s="18"/>
      <c r="E312" s="38"/>
      <c r="F312" s="29"/>
      <c r="G312" s="94">
        <f>SUM(G313)</f>
        <v>700</v>
      </c>
      <c r="H312" s="94">
        <f>SUM(H313)</f>
        <v>630.235</v>
      </c>
      <c r="I312" s="94">
        <f t="shared" si="9"/>
        <v>90.03357142857143</v>
      </c>
    </row>
    <row r="313" spans="1:9" ht="46.5" customHeight="1">
      <c r="A313" s="78" t="s">
        <v>185</v>
      </c>
      <c r="B313" s="18" t="s">
        <v>46</v>
      </c>
      <c r="C313" s="18" t="s">
        <v>107</v>
      </c>
      <c r="D313" s="18" t="s">
        <v>21</v>
      </c>
      <c r="E313" s="38">
        <v>0</v>
      </c>
      <c r="F313" s="29"/>
      <c r="G313" s="94">
        <f>SUM(G314)</f>
        <v>700</v>
      </c>
      <c r="H313" s="94">
        <f>SUM(H314)</f>
        <v>630.235</v>
      </c>
      <c r="I313" s="94">
        <f t="shared" si="9"/>
        <v>90.03357142857143</v>
      </c>
    </row>
    <row r="314" spans="1:9" ht="31.5">
      <c r="A314" s="78" t="s">
        <v>117</v>
      </c>
      <c r="B314" s="18" t="s">
        <v>46</v>
      </c>
      <c r="C314" s="18" t="s">
        <v>107</v>
      </c>
      <c r="D314" s="18" t="s">
        <v>21</v>
      </c>
      <c r="E314" s="38">
        <v>0</v>
      </c>
      <c r="F314" s="29">
        <v>200</v>
      </c>
      <c r="G314" s="94">
        <f>700-100+100</f>
        <v>700</v>
      </c>
      <c r="H314" s="94">
        <v>630.235</v>
      </c>
      <c r="I314" s="94">
        <f t="shared" si="9"/>
        <v>90.03357142857143</v>
      </c>
    </row>
    <row r="315" spans="1:9" ht="15.75">
      <c r="A315" s="78" t="s">
        <v>108</v>
      </c>
      <c r="B315" s="18" t="s">
        <v>46</v>
      </c>
      <c r="C315" s="18" t="s">
        <v>163</v>
      </c>
      <c r="D315" s="18"/>
      <c r="E315" s="38"/>
      <c r="F315" s="29"/>
      <c r="G315" s="94">
        <f>SUM(G318)</f>
        <v>2359.843</v>
      </c>
      <c r="H315" s="94">
        <f>SUM(H318)</f>
        <v>2099.843</v>
      </c>
      <c r="I315" s="94">
        <f t="shared" si="9"/>
        <v>88.98231789148684</v>
      </c>
    </row>
    <row r="316" spans="1:9" ht="15.75">
      <c r="A316" s="78" t="s">
        <v>254</v>
      </c>
      <c r="B316" s="18" t="s">
        <v>46</v>
      </c>
      <c r="C316" s="18" t="s">
        <v>255</v>
      </c>
      <c r="D316" s="18"/>
      <c r="E316" s="38"/>
      <c r="F316" s="103"/>
      <c r="G316" s="94">
        <v>0</v>
      </c>
      <c r="H316" s="94">
        <v>0</v>
      </c>
      <c r="I316" s="94">
        <v>0</v>
      </c>
    </row>
    <row r="317" spans="1:9" ht="15.75">
      <c r="A317" s="78" t="s">
        <v>109</v>
      </c>
      <c r="B317" s="18" t="s">
        <v>46</v>
      </c>
      <c r="C317" s="18" t="s">
        <v>110</v>
      </c>
      <c r="D317" s="18"/>
      <c r="E317" s="38"/>
      <c r="F317" s="103"/>
      <c r="G317" s="94">
        <f>SUM(G318)</f>
        <v>2359.843</v>
      </c>
      <c r="H317" s="94">
        <f>SUM(H318)</f>
        <v>2099.843</v>
      </c>
      <c r="I317" s="94">
        <f t="shared" si="9"/>
        <v>88.98231789148684</v>
      </c>
    </row>
    <row r="318" spans="1:9" ht="50.25" customHeight="1">
      <c r="A318" s="78" t="s">
        <v>231</v>
      </c>
      <c r="B318" s="18" t="s">
        <v>46</v>
      </c>
      <c r="C318" s="18" t="s">
        <v>110</v>
      </c>
      <c r="D318" s="18" t="s">
        <v>166</v>
      </c>
      <c r="E318" s="38">
        <v>0</v>
      </c>
      <c r="F318" s="29"/>
      <c r="G318" s="94">
        <f>SUM(G319:G320)</f>
        <v>2359.843</v>
      </c>
      <c r="H318" s="94">
        <f>SUM(H319:H320)</f>
        <v>2099.843</v>
      </c>
      <c r="I318" s="94">
        <f t="shared" si="9"/>
        <v>88.98231789148684</v>
      </c>
    </row>
    <row r="319" spans="1:9" ht="33" customHeight="1">
      <c r="A319" s="78" t="s">
        <v>190</v>
      </c>
      <c r="B319" s="18" t="s">
        <v>46</v>
      </c>
      <c r="C319" s="18" t="s">
        <v>110</v>
      </c>
      <c r="D319" s="18" t="s">
        <v>166</v>
      </c>
      <c r="E319" s="38">
        <v>0</v>
      </c>
      <c r="F319" s="29">
        <v>600</v>
      </c>
      <c r="G319" s="94">
        <f>700+500</f>
        <v>1200</v>
      </c>
      <c r="H319" s="94">
        <v>940</v>
      </c>
      <c r="I319" s="94">
        <f t="shared" si="9"/>
        <v>78.33333333333333</v>
      </c>
    </row>
    <row r="320" spans="1:9" ht="129.75" customHeight="1">
      <c r="A320" s="78" t="s">
        <v>269</v>
      </c>
      <c r="B320" s="18" t="s">
        <v>46</v>
      </c>
      <c r="C320" s="18" t="s">
        <v>110</v>
      </c>
      <c r="D320" s="18" t="s">
        <v>166</v>
      </c>
      <c r="E320" s="38">
        <v>0</v>
      </c>
      <c r="F320" s="29">
        <v>600</v>
      </c>
      <c r="G320" s="94">
        <f>1159.843</f>
        <v>1159.843</v>
      </c>
      <c r="H320" s="94">
        <v>1159.843</v>
      </c>
      <c r="I320" s="94">
        <f t="shared" si="9"/>
        <v>100</v>
      </c>
    </row>
    <row r="321" spans="1:9" ht="31.5">
      <c r="A321" s="78" t="s">
        <v>111</v>
      </c>
      <c r="B321" s="18" t="s">
        <v>46</v>
      </c>
      <c r="C321" s="18" t="s">
        <v>164</v>
      </c>
      <c r="D321" s="18"/>
      <c r="E321" s="38"/>
      <c r="F321" s="29"/>
      <c r="G321" s="94">
        <f>SUM(G324)</f>
        <v>200</v>
      </c>
      <c r="H321" s="94">
        <f>SUM(H324)</f>
        <v>0</v>
      </c>
      <c r="I321" s="94">
        <f t="shared" si="9"/>
        <v>0</v>
      </c>
    </row>
    <row r="322" spans="1:9" ht="31.5">
      <c r="A322" s="78" t="s">
        <v>205</v>
      </c>
      <c r="B322" s="18" t="s">
        <v>46</v>
      </c>
      <c r="C322" s="18" t="s">
        <v>113</v>
      </c>
      <c r="D322" s="18"/>
      <c r="E322" s="38"/>
      <c r="F322" s="29"/>
      <c r="G322" s="94">
        <f>SUM(G323)</f>
        <v>200</v>
      </c>
      <c r="H322" s="94">
        <f>SUM(H323)</f>
        <v>0</v>
      </c>
      <c r="I322" s="94">
        <f t="shared" si="9"/>
        <v>0</v>
      </c>
    </row>
    <row r="323" spans="1:9" ht="37.5" customHeight="1">
      <c r="A323" s="78" t="s">
        <v>189</v>
      </c>
      <c r="B323" s="18" t="s">
        <v>46</v>
      </c>
      <c r="C323" s="18" t="s">
        <v>113</v>
      </c>
      <c r="D323" s="18" t="s">
        <v>17</v>
      </c>
      <c r="E323" s="38">
        <v>0</v>
      </c>
      <c r="F323" s="29"/>
      <c r="G323" s="94">
        <f>SUM(G324)</f>
        <v>200</v>
      </c>
      <c r="H323" s="94">
        <f>SUM(H324)</f>
        <v>0</v>
      </c>
      <c r="I323" s="94">
        <f t="shared" si="9"/>
        <v>0</v>
      </c>
    </row>
    <row r="324" spans="1:9" ht="31.5">
      <c r="A324" s="78" t="s">
        <v>206</v>
      </c>
      <c r="B324" s="18" t="s">
        <v>46</v>
      </c>
      <c r="C324" s="18" t="s">
        <v>113</v>
      </c>
      <c r="D324" s="18" t="s">
        <v>17</v>
      </c>
      <c r="E324" s="38">
        <v>0</v>
      </c>
      <c r="F324" s="29">
        <v>700</v>
      </c>
      <c r="G324" s="94">
        <f>500-300</f>
        <v>200</v>
      </c>
      <c r="H324" s="94">
        <f>150-150</f>
        <v>0</v>
      </c>
      <c r="I324" s="94">
        <f t="shared" si="9"/>
        <v>0</v>
      </c>
    </row>
    <row r="325" spans="1:9" ht="37.5" customHeight="1">
      <c r="A325" s="78" t="s">
        <v>208</v>
      </c>
      <c r="B325" s="18" t="s">
        <v>46</v>
      </c>
      <c r="C325" s="18" t="s">
        <v>209</v>
      </c>
      <c r="D325" s="18"/>
      <c r="E325" s="38"/>
      <c r="F325" s="29"/>
      <c r="G325" s="94">
        <f aca="true" t="shared" si="10" ref="G325:H327">SUM(G326)</f>
        <v>6368</v>
      </c>
      <c r="H325" s="94">
        <f t="shared" si="10"/>
        <v>5187.25</v>
      </c>
      <c r="I325" s="94">
        <f t="shared" si="9"/>
        <v>81.4580716080402</v>
      </c>
    </row>
    <row r="326" spans="1:9" ht="19.5" customHeight="1">
      <c r="A326" s="78" t="s">
        <v>210</v>
      </c>
      <c r="B326" s="18" t="s">
        <v>46</v>
      </c>
      <c r="C326" s="18" t="s">
        <v>211</v>
      </c>
      <c r="D326" s="18"/>
      <c r="E326" s="38"/>
      <c r="F326" s="29"/>
      <c r="G326" s="94">
        <f t="shared" si="10"/>
        <v>6368</v>
      </c>
      <c r="H326" s="94">
        <f t="shared" si="10"/>
        <v>5187.25</v>
      </c>
      <c r="I326" s="94">
        <f t="shared" si="9"/>
        <v>81.4580716080402</v>
      </c>
    </row>
    <row r="327" spans="1:9" ht="39" customHeight="1">
      <c r="A327" s="78" t="s">
        <v>189</v>
      </c>
      <c r="B327" s="18" t="s">
        <v>46</v>
      </c>
      <c r="C327" s="18" t="s">
        <v>211</v>
      </c>
      <c r="D327" s="18" t="s">
        <v>17</v>
      </c>
      <c r="E327" s="38">
        <v>0</v>
      </c>
      <c r="F327" s="29"/>
      <c r="G327" s="94">
        <f t="shared" si="10"/>
        <v>6368</v>
      </c>
      <c r="H327" s="94">
        <f t="shared" si="10"/>
        <v>5187.25</v>
      </c>
      <c r="I327" s="94">
        <f t="shared" si="9"/>
        <v>81.4580716080402</v>
      </c>
    </row>
    <row r="328" spans="1:9" ht="15.75">
      <c r="A328" s="78" t="s">
        <v>192</v>
      </c>
      <c r="B328" s="18" t="s">
        <v>46</v>
      </c>
      <c r="C328" s="18" t="s">
        <v>211</v>
      </c>
      <c r="D328" s="18" t="s">
        <v>17</v>
      </c>
      <c r="E328" s="38">
        <v>0</v>
      </c>
      <c r="F328" s="29">
        <v>500</v>
      </c>
      <c r="G328" s="94">
        <f>4723+100+150+1000+395</f>
        <v>6368</v>
      </c>
      <c r="H328" s="94">
        <v>5187.25</v>
      </c>
      <c r="I328" s="94">
        <f t="shared" si="9"/>
        <v>81.4580716080402</v>
      </c>
    </row>
    <row r="329" spans="1:9" ht="15.75">
      <c r="A329" s="78" t="s">
        <v>114</v>
      </c>
      <c r="B329" s="18"/>
      <c r="C329" s="18"/>
      <c r="D329" s="18"/>
      <c r="E329" s="38"/>
      <c r="F329" s="29"/>
      <c r="G329" s="94">
        <f>SUM(G11+G20+G28)</f>
        <v>327769.89719999995</v>
      </c>
      <c r="H329" s="94">
        <f>SUM(H11+H20+H28)</f>
        <v>244986.82833000002</v>
      </c>
      <c r="I329" s="94">
        <f t="shared" si="9"/>
        <v>74.74354125342785</v>
      </c>
    </row>
  </sheetData>
  <sheetProtection/>
  <mergeCells count="8">
    <mergeCell ref="H9:I9"/>
    <mergeCell ref="A1:I1"/>
    <mergeCell ref="A2:I2"/>
    <mergeCell ref="A3:I3"/>
    <mergeCell ref="A4:I4"/>
    <mergeCell ref="A5:I5"/>
    <mergeCell ref="A6:I6"/>
    <mergeCell ref="A7:I7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0"/>
  <sheetViews>
    <sheetView showGridLines="0" zoomScale="110" zoomScaleNormal="110" zoomScalePageLayoutView="0" workbookViewId="0" topLeftCell="A1">
      <pane ySplit="9" topLeftCell="BM10" activePane="bottomLeft" state="frozen"/>
      <selection pane="topLeft" activeCell="A1" sqref="A1"/>
      <selection pane="bottomLeft" activeCell="I9" sqref="I9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11.00390625" style="15" customWidth="1"/>
    <col min="7" max="7" width="9.28125" style="15" customWidth="1"/>
    <col min="8" max="16384" width="9.140625" style="2" customWidth="1"/>
  </cols>
  <sheetData>
    <row r="1" spans="1:10" ht="18.75">
      <c r="A1" s="24"/>
      <c r="B1" s="25"/>
      <c r="C1" s="110" t="s">
        <v>169</v>
      </c>
      <c r="D1" s="110"/>
      <c r="E1" s="110"/>
      <c r="F1" s="110"/>
      <c r="G1" s="110"/>
      <c r="H1" s="23"/>
      <c r="I1" s="23"/>
      <c r="J1" s="23"/>
    </row>
    <row r="2" spans="1:10" ht="18.75">
      <c r="A2" s="24"/>
      <c r="B2" s="110" t="s">
        <v>167</v>
      </c>
      <c r="C2" s="110"/>
      <c r="D2" s="110"/>
      <c r="E2" s="110"/>
      <c r="F2" s="110"/>
      <c r="G2" s="110"/>
      <c r="H2" s="23"/>
      <c r="I2" s="23"/>
      <c r="J2" s="23"/>
    </row>
    <row r="3" spans="1:10" ht="18.75">
      <c r="A3" s="24"/>
      <c r="B3" s="25"/>
      <c r="C3" s="25"/>
      <c r="D3" s="26"/>
      <c r="E3" s="110" t="s">
        <v>168</v>
      </c>
      <c r="F3" s="110"/>
      <c r="G3" s="110"/>
      <c r="H3" s="23"/>
      <c r="I3" s="23"/>
      <c r="J3" s="23"/>
    </row>
    <row r="4" spans="1:10" ht="18.75">
      <c r="A4" s="110" t="s">
        <v>179</v>
      </c>
      <c r="B4" s="110"/>
      <c r="C4" s="110"/>
      <c r="D4" s="110"/>
      <c r="E4" s="110"/>
      <c r="F4" s="110"/>
      <c r="G4" s="110"/>
      <c r="H4" s="23"/>
      <c r="I4" s="23"/>
      <c r="J4" s="23"/>
    </row>
    <row r="5" spans="1:7" ht="15">
      <c r="A5" s="8"/>
      <c r="B5" s="1"/>
      <c r="C5" s="1"/>
      <c r="D5" s="5"/>
      <c r="E5" s="10"/>
      <c r="F5" s="114"/>
      <c r="G5" s="114"/>
    </row>
    <row r="6" spans="1:8" ht="33" customHeight="1">
      <c r="A6" s="115" t="s">
        <v>326</v>
      </c>
      <c r="B6" s="115"/>
      <c r="C6" s="115"/>
      <c r="D6" s="115"/>
      <c r="E6" s="115"/>
      <c r="F6" s="115"/>
      <c r="G6" s="115"/>
      <c r="H6" s="115"/>
    </row>
    <row r="7" spans="1:7" ht="12.75">
      <c r="A7" s="39"/>
      <c r="B7" s="40"/>
      <c r="C7" s="40"/>
      <c r="D7" s="41"/>
      <c r="E7" s="43"/>
      <c r="F7" s="42"/>
      <c r="G7" s="42"/>
    </row>
    <row r="8" spans="1:8" ht="12.75">
      <c r="A8" s="39"/>
      <c r="B8" s="40"/>
      <c r="C8" s="40"/>
      <c r="D8" s="41"/>
      <c r="E8" s="43"/>
      <c r="F8" s="42"/>
      <c r="G8" s="113" t="s">
        <v>182</v>
      </c>
      <c r="H8" s="113"/>
    </row>
    <row r="9" spans="1:8" ht="87.75" customHeight="1">
      <c r="A9" s="50" t="s">
        <v>1</v>
      </c>
      <c r="B9" s="47" t="s">
        <v>219</v>
      </c>
      <c r="C9" s="71" t="s">
        <v>303</v>
      </c>
      <c r="D9" s="51" t="s">
        <v>9</v>
      </c>
      <c r="E9" s="52" t="s">
        <v>188</v>
      </c>
      <c r="F9" s="49" t="s">
        <v>289</v>
      </c>
      <c r="G9" s="49" t="s">
        <v>329</v>
      </c>
      <c r="H9" s="49" t="s">
        <v>328</v>
      </c>
    </row>
    <row r="10" spans="1:8" s="4" customFormat="1" ht="12.75" outlineLevel="3">
      <c r="A10" s="72" t="str">
        <f>'Приложение 3'!A12</f>
        <v>ОБЩЕГОСУДАРСТВЕННЫЕ ВОПРОСЫ</v>
      </c>
      <c r="B10" s="35" t="str">
        <f>'Приложение 3'!C12</f>
        <v>0100</v>
      </c>
      <c r="C10" s="35"/>
      <c r="D10" s="35"/>
      <c r="E10" s="35"/>
      <c r="F10" s="36">
        <f>SUM(F11+F21+F50+F54+F57+F14+F44)</f>
        <v>65223.31</v>
      </c>
      <c r="G10" s="36">
        <f>SUM(G11+G21+G50+G54+G57+G14+G44)</f>
        <v>50932.82799</v>
      </c>
      <c r="H10" s="93">
        <f aca="true" t="shared" si="0" ref="H10:H73">SUM(G10/F10)*100</f>
        <v>78.08991599782348</v>
      </c>
    </row>
    <row r="11" spans="1:8" s="4" customFormat="1" ht="24" outlineLevel="3">
      <c r="A11" s="72" t="str">
        <f>'Приложение 3'!A30</f>
        <v>Функционирование высшего должностного лица субъекта Российской Федерации и муниципального образования</v>
      </c>
      <c r="B11" s="35" t="str">
        <f>'Приложение 3'!C30</f>
        <v>0102</v>
      </c>
      <c r="C11" s="35"/>
      <c r="D11" s="35"/>
      <c r="E11" s="35"/>
      <c r="F11" s="36">
        <f>SUM(F12)</f>
        <v>1367.1</v>
      </c>
      <c r="G11" s="36">
        <f>SUM(G12)</f>
        <v>1167.44662</v>
      </c>
      <c r="H11" s="93">
        <f t="shared" si="0"/>
        <v>85.39584668275913</v>
      </c>
    </row>
    <row r="12" spans="1:8" s="4" customFormat="1" ht="36" outlineLevel="3">
      <c r="A12" s="72" t="str">
        <f>'Приложение 3'!A31</f>
        <v>Непрограммные направления обеспечения деятельности органов местного самоуправления Алексеевского муниципального района</v>
      </c>
      <c r="B12" s="35" t="str">
        <f>'Приложение 3'!C31</f>
        <v>0102</v>
      </c>
      <c r="C12" s="35" t="s">
        <v>12</v>
      </c>
      <c r="D12" s="35" t="s">
        <v>10</v>
      </c>
      <c r="E12" s="35">
        <v>100</v>
      </c>
      <c r="F12" s="36">
        <f>SUM(F13)</f>
        <v>1367.1</v>
      </c>
      <c r="G12" s="36">
        <f>SUM(G13)</f>
        <v>1167.44662</v>
      </c>
      <c r="H12" s="93">
        <f t="shared" si="0"/>
        <v>85.39584668275913</v>
      </c>
    </row>
    <row r="13" spans="1:8" ht="48" outlineLevel="1">
      <c r="A13" s="72" t="str">
        <f>'Приложение 3'!A32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35" t="str">
        <f>'Приложение 3'!C32</f>
        <v>0102</v>
      </c>
      <c r="C13" s="35" t="s">
        <v>12</v>
      </c>
      <c r="D13" s="35">
        <v>0</v>
      </c>
      <c r="E13" s="35">
        <v>100</v>
      </c>
      <c r="F13" s="36">
        <f>SUM('Приложение 3'!G32)</f>
        <v>1367.1</v>
      </c>
      <c r="G13" s="36">
        <f>SUM('Приложение 3'!H32)</f>
        <v>1167.44662</v>
      </c>
      <c r="H13" s="93">
        <f t="shared" si="0"/>
        <v>85.39584668275913</v>
      </c>
    </row>
    <row r="14" spans="1:8" ht="37.5" customHeight="1" outlineLevel="1">
      <c r="A14" s="72" t="str">
        <f>'Приложение 3'!A13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35" t="str">
        <f>'Приложение 3'!C13</f>
        <v>0103</v>
      </c>
      <c r="C14" s="37"/>
      <c r="D14" s="35"/>
      <c r="E14" s="35"/>
      <c r="F14" s="36">
        <f>SUBTOTAL(9,'Приложение 3'!G12)</f>
        <v>390</v>
      </c>
      <c r="G14" s="36">
        <f>SUBTOTAL(9,'Приложение 3'!H12)</f>
        <v>326.88075</v>
      </c>
      <c r="H14" s="93">
        <f t="shared" si="0"/>
        <v>83.81557692307692</v>
      </c>
    </row>
    <row r="15" spans="1:8" ht="24.75" customHeight="1" outlineLevel="1">
      <c r="A15" s="72" t="str">
        <f>'Приложение 3'!A14</f>
        <v>Непрограммные направления обеспечения деятельности органов местного самоуправления Алексеевского муниципального района</v>
      </c>
      <c r="B15" s="35" t="str">
        <f>'Приложение 3'!C14</f>
        <v>0103</v>
      </c>
      <c r="C15" s="37"/>
      <c r="D15" s="35"/>
      <c r="E15" s="35"/>
      <c r="F15" s="36">
        <f>SUBTOTAL(9,'Приложение 3'!G13)</f>
        <v>390</v>
      </c>
      <c r="G15" s="36">
        <f>SUBTOTAL(9,'Приложение 3'!H13)</f>
        <v>326.88075</v>
      </c>
      <c r="H15" s="93">
        <f t="shared" si="0"/>
        <v>83.81557692307692</v>
      </c>
    </row>
    <row r="16" spans="1:8" ht="48" outlineLevel="1">
      <c r="A16" s="72" t="str">
        <f>'Приложение 3'!A15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35" t="str">
        <f>'Приложение 3'!C15</f>
        <v>0103</v>
      </c>
      <c r="C16" s="35" t="str">
        <f>'Приложение 3'!D15</f>
        <v>90</v>
      </c>
      <c r="D16" s="35" t="str">
        <f>'Приложение 3'!E15</f>
        <v>0</v>
      </c>
      <c r="E16" s="35">
        <f>'Приложение 3'!F15</f>
        <v>100</v>
      </c>
      <c r="F16" s="36">
        <f>SUBTOTAL(9,'Приложение 3'!G15)</f>
        <v>327.65155999999996</v>
      </c>
      <c r="G16" s="36">
        <f>SUBTOTAL(9,'Приложение 3'!H15)</f>
        <v>291.93179</v>
      </c>
      <c r="H16" s="93">
        <f t="shared" si="0"/>
        <v>89.0982450991535</v>
      </c>
    </row>
    <row r="17" spans="1:8" ht="24" outlineLevel="1">
      <c r="A17" s="72" t="str">
        <f>'Приложение 3'!A16</f>
        <v>Закупка товаров, работ и услуг для государственных (муниципальных) нужд</v>
      </c>
      <c r="B17" s="35" t="str">
        <f>'Приложение 3'!C16</f>
        <v>0103</v>
      </c>
      <c r="C17" s="35" t="str">
        <f>'Приложение 3'!D16</f>
        <v>90</v>
      </c>
      <c r="D17" s="35">
        <f>'Приложение 3'!E16</f>
        <v>0</v>
      </c>
      <c r="E17" s="35">
        <f>'Приложение 3'!F16</f>
        <v>200</v>
      </c>
      <c r="F17" s="36">
        <f>SUBTOTAL(9,'Приложение 3'!G16)</f>
        <v>52.24844</v>
      </c>
      <c r="G17" s="36">
        <f>SUBTOTAL(9,'Приложение 3'!H16)</f>
        <v>34.94896</v>
      </c>
      <c r="H17" s="93">
        <f t="shared" si="0"/>
        <v>66.88995881982314</v>
      </c>
    </row>
    <row r="18" spans="1:8" ht="50.25" customHeight="1" outlineLevel="1">
      <c r="A18" s="72" t="str">
        <f>'Приложение 3'!A17</f>
        <v>Субсидии на поощрение победителей конкурса на лучшую организацию работы в представительных органах местного самоуправления 
на 2017 год
</v>
      </c>
      <c r="B18" s="35" t="str">
        <f>'Приложение 3'!C17</f>
        <v>0103</v>
      </c>
      <c r="C18" s="35" t="str">
        <f>'Приложение 3'!D17</f>
        <v>90</v>
      </c>
      <c r="D18" s="35">
        <f>'Приложение 3'!E17</f>
        <v>0</v>
      </c>
      <c r="E18" s="35">
        <f>'Приложение 3'!F17</f>
        <v>200</v>
      </c>
      <c r="F18" s="36">
        <f>SUBTOTAL(9,'Приложение 3'!G17)</f>
        <v>10</v>
      </c>
      <c r="G18" s="36">
        <f>SUBTOTAL(9,'Приложение 3'!H17)</f>
        <v>0</v>
      </c>
      <c r="H18" s="93">
        <f t="shared" si="0"/>
        <v>0</v>
      </c>
    </row>
    <row r="19" spans="1:8" ht="27.75" customHeight="1" outlineLevel="1">
      <c r="A19" s="72" t="str">
        <f>'Приложение 3'!A18</f>
        <v>Непрограммные расходы органов местного самоуправления Алексеевского муниципального района</v>
      </c>
      <c r="B19" s="35" t="str">
        <f>'Приложение 3'!C18</f>
        <v>0103</v>
      </c>
      <c r="C19" s="35" t="str">
        <f>'Приложение 3'!D18</f>
        <v>99</v>
      </c>
      <c r="D19" s="35">
        <f>'Приложение 3'!E18</f>
        <v>0</v>
      </c>
      <c r="E19" s="44"/>
      <c r="F19" s="36">
        <f>SUBTOTAL(9,'Приложение 3'!G18)</f>
        <v>0.1</v>
      </c>
      <c r="G19" s="36">
        <f>SUBTOTAL(9,'Приложение 3'!H18)</f>
        <v>0</v>
      </c>
      <c r="H19" s="93">
        <f t="shared" si="0"/>
        <v>0</v>
      </c>
    </row>
    <row r="20" spans="1:8" ht="12.75" outlineLevel="1">
      <c r="A20" s="72" t="str">
        <f>'Приложение 3'!A19</f>
        <v>Иные бюджетные ассигнования</v>
      </c>
      <c r="B20" s="35" t="str">
        <f>'Приложение 3'!C19</f>
        <v>0103</v>
      </c>
      <c r="C20" s="35" t="str">
        <f>'Приложение 3'!D19</f>
        <v>99</v>
      </c>
      <c r="D20" s="35">
        <f>'Приложение 3'!E19</f>
        <v>0</v>
      </c>
      <c r="E20" s="35">
        <f>'Приложение 3'!F19</f>
        <v>800</v>
      </c>
      <c r="F20" s="36">
        <f>SUBTOTAL(9,'Приложение 3'!G19)</f>
        <v>0.1</v>
      </c>
      <c r="G20" s="36">
        <f>SUBTOTAL(9,'Приложение 3'!H19)</f>
        <v>0</v>
      </c>
      <c r="H20" s="93">
        <f t="shared" si="0"/>
        <v>0</v>
      </c>
    </row>
    <row r="21" spans="1:8" ht="36" outlineLevel="2">
      <c r="A21" s="73" t="str">
        <f>'Приложение 3'!A33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1" s="37" t="str">
        <f>'Приложение 3'!C33</f>
        <v>0104</v>
      </c>
      <c r="C21" s="37"/>
      <c r="D21" s="37"/>
      <c r="E21" s="37"/>
      <c r="F21" s="36">
        <f>'Приложение 3'!G33</f>
        <v>28275</v>
      </c>
      <c r="G21" s="36">
        <f>'Приложение 3'!H33</f>
        <v>21069.44961</v>
      </c>
      <c r="H21" s="93">
        <f t="shared" si="0"/>
        <v>74.51617899204244</v>
      </c>
    </row>
    <row r="22" spans="1:8" s="4" customFormat="1" ht="36" outlineLevel="3">
      <c r="A22" s="73" t="str">
        <f>'Приложение 3'!A34</f>
        <v>Непрограммные направления обеспечения деятельности органов местного самоуправления Алексеевского муниципального района</v>
      </c>
      <c r="B22" s="37" t="str">
        <f>'Приложение 3'!C34</f>
        <v>0104</v>
      </c>
      <c r="C22" s="37" t="str">
        <f>'Приложение 3'!D34</f>
        <v>90</v>
      </c>
      <c r="D22" s="37">
        <f>'Приложение 3'!E34</f>
        <v>0</v>
      </c>
      <c r="E22" s="37"/>
      <c r="F22" s="36">
        <f>'Приложение 3'!G34</f>
        <v>28175</v>
      </c>
      <c r="G22" s="36">
        <f>'Приложение 3'!H34</f>
        <v>21012.19961</v>
      </c>
      <c r="H22" s="93">
        <f t="shared" si="0"/>
        <v>74.57746090505766</v>
      </c>
    </row>
    <row r="23" spans="1:8" s="4" customFormat="1" ht="12.75" outlineLevel="3">
      <c r="A23" s="73" t="str">
        <f>'Приложение 3'!A35</f>
        <v>Центральный аппарат</v>
      </c>
      <c r="B23" s="37" t="str">
        <f>'Приложение 3'!C35</f>
        <v>0104</v>
      </c>
      <c r="C23" s="37" t="str">
        <f>'Приложение 3'!D35</f>
        <v>90</v>
      </c>
      <c r="D23" s="37">
        <f>'Приложение 3'!E35</f>
        <v>0</v>
      </c>
      <c r="E23" s="37"/>
      <c r="F23" s="36">
        <f>'Приложение 3'!G35</f>
        <v>26868.9</v>
      </c>
      <c r="G23" s="36">
        <f>'Приложение 3'!H35</f>
        <v>20026.64977</v>
      </c>
      <c r="H23" s="93">
        <f t="shared" si="0"/>
        <v>74.53468422600106</v>
      </c>
    </row>
    <row r="24" spans="1:8" s="4" customFormat="1" ht="48" outlineLevel="3">
      <c r="A24" s="73" t="str">
        <f>'Приложение 3'!A36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" s="37" t="str">
        <f>'Приложение 3'!C36</f>
        <v>0104</v>
      </c>
      <c r="C24" s="37" t="str">
        <f>'Приложение 3'!D36</f>
        <v>90</v>
      </c>
      <c r="D24" s="37">
        <f>'Приложение 3'!E36</f>
        <v>0</v>
      </c>
      <c r="E24" s="37">
        <f>'Приложение 3'!F36</f>
        <v>100</v>
      </c>
      <c r="F24" s="36">
        <f>'Приложение 3'!G36</f>
        <v>25328</v>
      </c>
      <c r="G24" s="36">
        <f>'Приложение 3'!H36</f>
        <v>19524.78861</v>
      </c>
      <c r="H24" s="93">
        <f t="shared" si="0"/>
        <v>77.08776298957675</v>
      </c>
    </row>
    <row r="25" spans="1:8" ht="24" outlineLevel="1">
      <c r="A25" s="73" t="str">
        <f>'Приложение 3'!A37</f>
        <v>Закупка товаров, работ и услуг для государственных (муниципальных) нужд</v>
      </c>
      <c r="B25" s="37" t="str">
        <f>'Приложение 3'!C37</f>
        <v>0104</v>
      </c>
      <c r="C25" s="37" t="str">
        <f>'Приложение 3'!D37</f>
        <v>90</v>
      </c>
      <c r="D25" s="37">
        <f>'Приложение 3'!E37</f>
        <v>0</v>
      </c>
      <c r="E25" s="37">
        <f>'Приложение 3'!F37</f>
        <v>200</v>
      </c>
      <c r="F25" s="36">
        <f>'Приложение 3'!G37</f>
        <v>1540.9</v>
      </c>
      <c r="G25" s="36">
        <f>'Приложение 3'!H37</f>
        <v>501.86116</v>
      </c>
      <c r="H25" s="93">
        <f t="shared" si="0"/>
        <v>32.569352975533775</v>
      </c>
    </row>
    <row r="26" spans="1:8" ht="36" outlineLevel="2">
      <c r="A26" s="73" t="str">
        <f>'Приложение 3'!A38</f>
        <v>Непрограммные направления обеспечения деятельности органов местного самоуправления Алексеевского муниципального района</v>
      </c>
      <c r="B26" s="37" t="str">
        <f>'Приложение 3'!C38</f>
        <v>0104</v>
      </c>
      <c r="C26" s="37" t="str">
        <f>'Приложение 3'!D38</f>
        <v>90</v>
      </c>
      <c r="D26" s="37" t="str">
        <f>'Приложение 3'!E38</f>
        <v>0</v>
      </c>
      <c r="E26" s="37"/>
      <c r="F26" s="36">
        <f>'Приложение 3'!G38</f>
        <v>1306.1</v>
      </c>
      <c r="G26" s="36">
        <f>'Приложение 3'!H38</f>
        <v>985.5498400000001</v>
      </c>
      <c r="H26" s="93">
        <f t="shared" si="0"/>
        <v>75.45745655003448</v>
      </c>
    </row>
    <row r="27" spans="1:8" ht="25.5" customHeight="1" outlineLevel="2">
      <c r="A27" s="73" t="str">
        <f>'Приложение 3'!A39</f>
        <v>За счет субвенции на организационное обеспечение деятельности территориальных административных комиссий</v>
      </c>
      <c r="B27" s="37" t="str">
        <f>'Приложение 3'!C39</f>
        <v>0104</v>
      </c>
      <c r="C27" s="37" t="str">
        <f>'Приложение 3'!D39</f>
        <v>90</v>
      </c>
      <c r="D27" s="37" t="str">
        <f>'Приложение 3'!E39</f>
        <v>0</v>
      </c>
      <c r="E27" s="37"/>
      <c r="F27" s="36">
        <f>'Приложение 3'!G39</f>
        <v>223.4</v>
      </c>
      <c r="G27" s="36">
        <f>'Приложение 3'!H39</f>
        <v>206.79152</v>
      </c>
      <c r="H27" s="93">
        <f t="shared" si="0"/>
        <v>92.56558639212174</v>
      </c>
    </row>
    <row r="28" spans="1:8" ht="24">
      <c r="A28" s="73" t="s">
        <v>117</v>
      </c>
      <c r="B28" s="37" t="s">
        <v>47</v>
      </c>
      <c r="C28" s="37" t="s">
        <v>12</v>
      </c>
      <c r="D28" s="45">
        <v>0</v>
      </c>
      <c r="E28" s="35">
        <v>200</v>
      </c>
      <c r="F28" s="46">
        <f>SUM('Приложение 3'!G37)</f>
        <v>1540.9</v>
      </c>
      <c r="G28" s="46">
        <f>SUM('Приложение 3'!H37)</f>
        <v>501.86116</v>
      </c>
      <c r="H28" s="93">
        <f t="shared" si="0"/>
        <v>32.569352975533775</v>
      </c>
    </row>
    <row r="29" spans="1:8" ht="24" outlineLevel="1">
      <c r="A29" s="73" t="str">
        <f>'Приложение 3'!A41</f>
        <v>Закупка товаров, работ и услуг для государственных (муниципальных) нужд</v>
      </c>
      <c r="B29" s="37" t="str">
        <f>'Приложение 3'!C41</f>
        <v>0104</v>
      </c>
      <c r="C29" s="37" t="str">
        <f>'Приложение 3'!D41</f>
        <v>90</v>
      </c>
      <c r="D29" s="37" t="str">
        <f>'Приложение 3'!E41</f>
        <v>0</v>
      </c>
      <c r="E29" s="37">
        <f>'Приложение 3'!F41</f>
        <v>200</v>
      </c>
      <c r="F29" s="36">
        <f>'Приложение 3'!G41</f>
        <v>7.099999999999994</v>
      </c>
      <c r="G29" s="36">
        <f>'Приложение 3'!H41</f>
        <v>0</v>
      </c>
      <c r="H29" s="93">
        <f t="shared" si="0"/>
        <v>0</v>
      </c>
    </row>
    <row r="30" spans="1:8" ht="24" outlineLevel="2">
      <c r="A30" s="73" t="str">
        <f>'Приложение 3'!A42</f>
        <v>За счет субвенции на организацию и осуществление деятельности по опеке и попечительству</v>
      </c>
      <c r="B30" s="37" t="str">
        <f>'Приложение 3'!C42</f>
        <v>0104</v>
      </c>
      <c r="C30" s="37" t="str">
        <f>'Приложение 3'!D42</f>
        <v>90</v>
      </c>
      <c r="D30" s="37" t="str">
        <f>'Приложение 3'!E42</f>
        <v>0</v>
      </c>
      <c r="E30" s="37"/>
      <c r="F30" s="36">
        <f>'Приложение 3'!G42</f>
        <v>447.2</v>
      </c>
      <c r="G30" s="36">
        <f>'Приложение 3'!H42</f>
        <v>430.97511000000003</v>
      </c>
      <c r="H30" s="93">
        <f t="shared" si="0"/>
        <v>96.37189400715565</v>
      </c>
    </row>
    <row r="31" spans="1:8" ht="48" outlineLevel="1">
      <c r="A31" s="73" t="str">
        <f>'Приложение 3'!A43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37" t="str">
        <f>'Приложение 3'!C43</f>
        <v>0104</v>
      </c>
      <c r="C31" s="37" t="str">
        <f>'Приложение 3'!D43</f>
        <v>90</v>
      </c>
      <c r="D31" s="37" t="str">
        <f>'Приложение 3'!E43</f>
        <v>0</v>
      </c>
      <c r="E31" s="37">
        <f>'Приложение 3'!F43</f>
        <v>100</v>
      </c>
      <c r="F31" s="36">
        <f>'Приложение 3'!G43</f>
        <v>411.5</v>
      </c>
      <c r="G31" s="36">
        <f>'Приложение 3'!H43</f>
        <v>406.56441</v>
      </c>
      <c r="H31" s="93">
        <f t="shared" si="0"/>
        <v>98.80058566221143</v>
      </c>
    </row>
    <row r="32" spans="1:8" ht="24" outlineLevel="5">
      <c r="A32" s="73" t="str">
        <f>'Приложение 3'!A44</f>
        <v>Закупка товаров, работ и услуг для государственных (муниципальных) нужд</v>
      </c>
      <c r="B32" s="37" t="str">
        <f>'Приложение 3'!C44</f>
        <v>0104</v>
      </c>
      <c r="C32" s="37" t="str">
        <f>'Приложение 3'!D44</f>
        <v>90</v>
      </c>
      <c r="D32" s="37" t="str">
        <f>'Приложение 3'!E44</f>
        <v>0</v>
      </c>
      <c r="E32" s="37">
        <f>'Приложение 3'!F44</f>
        <v>200</v>
      </c>
      <c r="F32" s="36">
        <f>'Приложение 3'!G44</f>
        <v>35.7</v>
      </c>
      <c r="G32" s="36">
        <f>'Приложение 3'!H44</f>
        <v>24.4107</v>
      </c>
      <c r="H32" s="93">
        <f t="shared" si="0"/>
        <v>68.37731092436974</v>
      </c>
    </row>
    <row r="33" spans="1:8" ht="39.75" customHeight="1" outlineLevel="5">
      <c r="A33" s="73" t="str">
        <f>'Приложение 3'!A45</f>
        <v>За счет субвенции  на создание, исполнение функций и обеспечение деятельности муниципальных комиссий по делам несовершеннолетних и защите их прав</v>
      </c>
      <c r="B33" s="37" t="str">
        <f>'Приложение 3'!C45</f>
        <v>0104</v>
      </c>
      <c r="C33" s="37" t="str">
        <f>'Приложение 3'!D45</f>
        <v>90</v>
      </c>
      <c r="D33" s="37" t="str">
        <f>'Приложение 3'!E45</f>
        <v>0</v>
      </c>
      <c r="E33" s="37"/>
      <c r="F33" s="36">
        <f>'Приложение 3'!G45</f>
        <v>316</v>
      </c>
      <c r="G33" s="36">
        <f>'Приложение 3'!H45</f>
        <v>221.97935</v>
      </c>
      <c r="H33" s="93">
        <f t="shared" si="0"/>
        <v>70.24662974683544</v>
      </c>
    </row>
    <row r="34" spans="1:8" ht="48" outlineLevel="5">
      <c r="A34" s="73" t="str">
        <f>'Приложение 3'!A46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" s="37" t="str">
        <f>'Приложение 3'!C46</f>
        <v>0104</v>
      </c>
      <c r="C34" s="37" t="str">
        <f>'Приложение 3'!D46</f>
        <v>90</v>
      </c>
      <c r="D34" s="37" t="str">
        <f>'Приложение 3'!E46</f>
        <v>0</v>
      </c>
      <c r="E34" s="37">
        <f>'Приложение 3'!F46</f>
        <v>100</v>
      </c>
      <c r="F34" s="36">
        <f>'Приложение 3'!G46</f>
        <v>289.1</v>
      </c>
      <c r="G34" s="36">
        <f>'Приложение 3'!H46</f>
        <v>203.07855</v>
      </c>
      <c r="H34" s="93">
        <f t="shared" si="0"/>
        <v>70.24508820477344</v>
      </c>
    </row>
    <row r="35" spans="1:8" ht="24" outlineLevel="2">
      <c r="A35" s="73" t="str">
        <f>'Приложение 3'!A47</f>
        <v>Закупка товаров, работ и услуг для государственных (муниципальных) нужд</v>
      </c>
      <c r="B35" s="37" t="str">
        <f>'Приложение 3'!C47</f>
        <v>0104</v>
      </c>
      <c r="C35" s="37" t="str">
        <f>'Приложение 3'!D47</f>
        <v>90</v>
      </c>
      <c r="D35" s="37" t="str">
        <f>'Приложение 3'!E47</f>
        <v>0</v>
      </c>
      <c r="E35" s="37">
        <f>'Приложение 3'!F47</f>
        <v>200</v>
      </c>
      <c r="F35" s="36">
        <f>'Приложение 3'!G47</f>
        <v>26.9</v>
      </c>
      <c r="G35" s="36">
        <f>'Приложение 3'!H47</f>
        <v>18.9008</v>
      </c>
      <c r="H35" s="93">
        <f t="shared" si="0"/>
        <v>70.26319702602231</v>
      </c>
    </row>
    <row r="36" spans="1:8" ht="48" outlineLevel="4">
      <c r="A36" s="73" t="str">
        <f>'Приложение 3'!A48</f>
        <v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v>
      </c>
      <c r="B36" s="37" t="str">
        <f>'Приложение 3'!C48</f>
        <v>0104</v>
      </c>
      <c r="C36" s="37" t="str">
        <f>'Приложение 3'!D48</f>
        <v>90</v>
      </c>
      <c r="D36" s="37" t="str">
        <f>'Приложение 3'!E48</f>
        <v>0</v>
      </c>
      <c r="E36" s="37"/>
      <c r="F36" s="36">
        <f>'Приложение 3'!G48</f>
        <v>319.5</v>
      </c>
      <c r="G36" s="36">
        <f>'Приложение 3'!H48</f>
        <v>125.80386</v>
      </c>
      <c r="H36" s="93">
        <f t="shared" si="0"/>
        <v>39.37523004694835</v>
      </c>
    </row>
    <row r="37" spans="1:8" ht="24" outlineLevel="5">
      <c r="A37" s="73" t="str">
        <f>'Приложение 3'!A49</f>
        <v>Закупка товаров, работ и услуг для государственных (муниципальных) нужд</v>
      </c>
      <c r="B37" s="37" t="str">
        <f>'Приложение 3'!C49</f>
        <v>0104</v>
      </c>
      <c r="C37" s="37" t="str">
        <f>'Приложение 3'!D49</f>
        <v>90</v>
      </c>
      <c r="D37" s="37" t="str">
        <f>'Приложение 3'!E49</f>
        <v>0</v>
      </c>
      <c r="E37" s="37">
        <f>'Приложение 3'!F49</f>
        <v>200</v>
      </c>
      <c r="F37" s="36">
        <f>'Приложение 3'!G49</f>
        <v>319.5</v>
      </c>
      <c r="G37" s="36">
        <f>'Приложение 3'!H49</f>
        <v>125.80386</v>
      </c>
      <c r="H37" s="93">
        <f t="shared" si="0"/>
        <v>39.37523004694835</v>
      </c>
    </row>
    <row r="38" spans="1:8" ht="36" outlineLevel="4">
      <c r="A38" s="73" t="str">
        <f>'Приложение 3'!A50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38" s="37" t="str">
        <f>'Приложение 3'!C50</f>
        <v>0104</v>
      </c>
      <c r="C38" s="37" t="str">
        <f>'Приложение 3'!D50</f>
        <v>01</v>
      </c>
      <c r="D38" s="37">
        <f>'Приложение 3'!E50</f>
        <v>0</v>
      </c>
      <c r="E38" s="37"/>
      <c r="F38" s="36">
        <f>'Приложение 3'!G50</f>
        <v>100</v>
      </c>
      <c r="G38" s="36">
        <f>'Приложение 3'!H50</f>
        <v>57.25</v>
      </c>
      <c r="H38" s="93">
        <f t="shared" si="0"/>
        <v>57.25</v>
      </c>
    </row>
    <row r="39" spans="1:8" ht="27" customHeight="1" outlineLevel="4">
      <c r="A39" s="73" t="str">
        <f>'Приложение 3'!A51</f>
        <v>Закупка товаров, работ и услуг для государственных (муниципальных) нужд</v>
      </c>
      <c r="B39" s="37" t="str">
        <f>'Приложение 3'!C51</f>
        <v>0104</v>
      </c>
      <c r="C39" s="37" t="str">
        <f>'Приложение 3'!D51</f>
        <v>01</v>
      </c>
      <c r="D39" s="37">
        <f>'Приложение 3'!E51</f>
        <v>0</v>
      </c>
      <c r="E39" s="37">
        <f>'Приложение 3'!F51</f>
        <v>200</v>
      </c>
      <c r="F39" s="36">
        <f>'Приложение 3'!G51</f>
        <v>100</v>
      </c>
      <c r="G39" s="36">
        <f>'Приложение 3'!H51</f>
        <v>57.25</v>
      </c>
      <c r="H39" s="93">
        <f t="shared" si="0"/>
        <v>57.25</v>
      </c>
    </row>
    <row r="40" spans="1:8" ht="15" customHeight="1" outlineLevel="4">
      <c r="A40" s="73" t="str">
        <f>'Приложение 3'!A52</f>
        <v>Судебная система</v>
      </c>
      <c r="B40" s="37" t="str">
        <f>'Приложение 3'!C52</f>
        <v>0105</v>
      </c>
      <c r="C40" s="37"/>
      <c r="D40" s="37"/>
      <c r="E40" s="37"/>
      <c r="F40" s="36">
        <f>'Приложение 3'!G52</f>
        <v>0</v>
      </c>
      <c r="G40" s="36">
        <f>'Приложение 3'!H52</f>
        <v>0</v>
      </c>
      <c r="H40" s="93" t="e">
        <f t="shared" si="0"/>
        <v>#DIV/0!</v>
      </c>
    </row>
    <row r="41" spans="1:8" ht="27" customHeight="1" outlineLevel="4">
      <c r="A41" s="73" t="str">
        <f>'Приложение 3'!A53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37" t="str">
        <f>'Приложение 3'!C53</f>
        <v>0105</v>
      </c>
      <c r="C41" s="37" t="str">
        <f>'Приложение 3'!D53</f>
        <v>99</v>
      </c>
      <c r="D41" s="37">
        <f>'Приложение 3'!E53</f>
        <v>0</v>
      </c>
      <c r="E41" s="37"/>
      <c r="F41" s="36">
        <f>'Приложение 3'!G53</f>
        <v>0</v>
      </c>
      <c r="G41" s="36">
        <f>'Приложение 3'!H53</f>
        <v>0</v>
      </c>
      <c r="H41" s="93" t="e">
        <f t="shared" si="0"/>
        <v>#DIV/0!</v>
      </c>
    </row>
    <row r="42" spans="1:8" ht="27" customHeight="1" outlineLevel="4">
      <c r="A42" s="73" t="str">
        <f>'Приложение 3'!A54</f>
        <v>Непрограммные расходы органов местного самоуправления Алексеевского муниципального района</v>
      </c>
      <c r="B42" s="37" t="str">
        <f>'Приложение 3'!C54</f>
        <v>0105</v>
      </c>
      <c r="C42" s="37" t="str">
        <f>'Приложение 3'!D54</f>
        <v>99</v>
      </c>
      <c r="D42" s="37">
        <f>'Приложение 3'!E54</f>
        <v>0</v>
      </c>
      <c r="E42" s="37"/>
      <c r="F42" s="36">
        <f>'Приложение 3'!G54</f>
        <v>0</v>
      </c>
      <c r="G42" s="36">
        <f>'Приложение 3'!H54</f>
        <v>0</v>
      </c>
      <c r="H42" s="93" t="e">
        <f t="shared" si="0"/>
        <v>#DIV/0!</v>
      </c>
    </row>
    <row r="43" spans="1:8" ht="27" customHeight="1" outlineLevel="4">
      <c r="A43" s="73" t="str">
        <f>'Приложение 3'!A55</f>
        <v>Закупка товаров, работ и услуг для государственных (муниципальных) нужд</v>
      </c>
      <c r="B43" s="37" t="str">
        <f>'Приложение 3'!C55</f>
        <v>0105</v>
      </c>
      <c r="C43" s="37" t="str">
        <f>'Приложение 3'!D55</f>
        <v>99</v>
      </c>
      <c r="D43" s="37">
        <f>'Приложение 3'!E55</f>
        <v>0</v>
      </c>
      <c r="E43" s="37">
        <f>'Приложение 3'!F55</f>
        <v>200</v>
      </c>
      <c r="F43" s="36">
        <f>'Приложение 3'!G55</f>
        <v>0</v>
      </c>
      <c r="G43" s="36">
        <f>'Приложение 3'!H55</f>
        <v>0</v>
      </c>
      <c r="H43" s="93" t="e">
        <f t="shared" si="0"/>
        <v>#DIV/0!</v>
      </c>
    </row>
    <row r="44" spans="1:8" ht="36" outlineLevel="2">
      <c r="A44" s="72" t="str">
        <f>'Приложение 3'!A22</f>
        <v>Обеспечение деятельности финансовых, налоговых и таможенных органов и органов финансового (финансово-бюджетного) надзора</v>
      </c>
      <c r="B44" s="37" t="str">
        <f>'Приложение 3'!C22</f>
        <v>0106</v>
      </c>
      <c r="C44" s="37"/>
      <c r="D44" s="37"/>
      <c r="E44" s="37"/>
      <c r="F44" s="36">
        <f>'Приложение 3'!G21</f>
        <v>1486</v>
      </c>
      <c r="G44" s="36">
        <f>'Приложение 3'!H21</f>
        <v>933.50684</v>
      </c>
      <c r="H44" s="93">
        <f t="shared" si="0"/>
        <v>62.820110363391656</v>
      </c>
    </row>
    <row r="45" spans="1:8" ht="36" outlineLevel="2">
      <c r="A45" s="72" t="str">
        <f>'Приложение 3'!A23</f>
        <v>Непрограммные направления обеспечения деятельности органов местного самоуправления Алексеевского муниципального района</v>
      </c>
      <c r="B45" s="37" t="str">
        <f>'Приложение 3'!C23</f>
        <v>0106</v>
      </c>
      <c r="C45" s="37" t="str">
        <f>'Приложение 3'!D23</f>
        <v>90</v>
      </c>
      <c r="D45" s="37" t="str">
        <f>'Приложение 3'!E23</f>
        <v>0</v>
      </c>
      <c r="E45" s="37"/>
      <c r="F45" s="36">
        <f>'Приложение 3'!G22</f>
        <v>1486</v>
      </c>
      <c r="G45" s="36">
        <f>'Приложение 3'!H22</f>
        <v>933.50684</v>
      </c>
      <c r="H45" s="93">
        <f t="shared" si="0"/>
        <v>62.820110363391656</v>
      </c>
    </row>
    <row r="46" spans="1:8" ht="48" outlineLevel="2">
      <c r="A46" s="72" t="str">
        <f>'Приложение 3'!A24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37" t="str">
        <f>'Приложение 3'!C24</f>
        <v>0106</v>
      </c>
      <c r="C46" s="37" t="str">
        <f>'Приложение 3'!D24</f>
        <v>90</v>
      </c>
      <c r="D46" s="37" t="str">
        <f>'Приложение 3'!E24</f>
        <v>0</v>
      </c>
      <c r="E46" s="37">
        <f>'Приложение 3'!F24</f>
        <v>100</v>
      </c>
      <c r="F46" s="36">
        <f>'Приложение 3'!G24</f>
        <v>1460.8</v>
      </c>
      <c r="G46" s="36">
        <f>'Приложение 3'!H24</f>
        <v>933.50684</v>
      </c>
      <c r="H46" s="93">
        <f t="shared" si="0"/>
        <v>63.90380887185104</v>
      </c>
    </row>
    <row r="47" spans="1:8" ht="24" outlineLevel="2">
      <c r="A47" s="72" t="str">
        <f>'Приложение 3'!A25</f>
        <v>Закупка товаров, работ и услуг для государственных (муниципальных) нужд</v>
      </c>
      <c r="B47" s="37" t="str">
        <f>'Приложение 3'!C25</f>
        <v>0106</v>
      </c>
      <c r="C47" s="37" t="str">
        <f>'Приложение 3'!D25</f>
        <v>90</v>
      </c>
      <c r="D47" s="37">
        <f>'Приложение 3'!E25</f>
        <v>0</v>
      </c>
      <c r="E47" s="37">
        <f>'Приложение 3'!F25</f>
        <v>200</v>
      </c>
      <c r="F47" s="36">
        <f>'Приложение 3'!G25</f>
        <v>24.7</v>
      </c>
      <c r="G47" s="36">
        <f>'Приложение 3'!H25</f>
        <v>0</v>
      </c>
      <c r="H47" s="93">
        <f t="shared" si="0"/>
        <v>0</v>
      </c>
    </row>
    <row r="48" spans="1:8" ht="28.5" customHeight="1" outlineLevel="2">
      <c r="A48" s="72" t="str">
        <f>'Приложение 3'!A26</f>
        <v>Непрограммные расходы органов местного самоуправления Алексеевского муниципального района</v>
      </c>
      <c r="B48" s="37" t="str">
        <f>'Приложение 3'!C26</f>
        <v>0106</v>
      </c>
      <c r="C48" s="37" t="str">
        <f>'Приложение 3'!D26</f>
        <v>99</v>
      </c>
      <c r="D48" s="37">
        <f>'Приложение 3'!E26</f>
        <v>0</v>
      </c>
      <c r="E48" s="37"/>
      <c r="F48" s="36">
        <f>'Приложение 3'!G26</f>
        <v>0.5</v>
      </c>
      <c r="G48" s="36">
        <f>'Приложение 3'!H26</f>
        <v>0</v>
      </c>
      <c r="H48" s="93">
        <f t="shared" si="0"/>
        <v>0</v>
      </c>
    </row>
    <row r="49" spans="1:8" ht="12.75" outlineLevel="2">
      <c r="A49" s="72" t="str">
        <f>'Приложение 3'!A27</f>
        <v>Иные бюджетные ассигнования</v>
      </c>
      <c r="B49" s="37" t="str">
        <f>'Приложение 3'!C27</f>
        <v>0106</v>
      </c>
      <c r="C49" s="37" t="str">
        <f>'Приложение 3'!D27</f>
        <v>99</v>
      </c>
      <c r="D49" s="37">
        <f>'Приложение 3'!E27</f>
        <v>0</v>
      </c>
      <c r="E49" s="37">
        <f>'Приложение 3'!F27</f>
        <v>800</v>
      </c>
      <c r="F49" s="36">
        <f>'Приложение 3'!G27</f>
        <v>0.5</v>
      </c>
      <c r="G49" s="36">
        <f>'Приложение 3'!H27</f>
        <v>0</v>
      </c>
      <c r="H49" s="93">
        <f t="shared" si="0"/>
        <v>0</v>
      </c>
    </row>
    <row r="50" spans="1:8" ht="12.75" outlineLevel="2">
      <c r="A50" s="72" t="str">
        <f>'Приложение 3'!A56</f>
        <v>Обеспечение проведения выборов и референдумов</v>
      </c>
      <c r="B50" s="37" t="str">
        <f>'Приложение 3'!C56</f>
        <v>0107</v>
      </c>
      <c r="C50" s="37">
        <f>'Приложение 3'!D56</f>
        <v>0</v>
      </c>
      <c r="D50" s="37">
        <f>'Приложение 3'!E56</f>
        <v>0</v>
      </c>
      <c r="E50" s="37"/>
      <c r="F50" s="36">
        <f>'Приложение 3'!G56</f>
        <v>0</v>
      </c>
      <c r="G50" s="36">
        <f>'Приложение 3'!H56</f>
        <v>0</v>
      </c>
      <c r="H50" s="93" t="e">
        <f t="shared" si="0"/>
        <v>#DIV/0!</v>
      </c>
    </row>
    <row r="51" spans="1:8" ht="12.75" outlineLevel="2">
      <c r="A51" s="72" t="str">
        <f>'Приложение 3'!A57</f>
        <v>Проведение выборов и референдумов</v>
      </c>
      <c r="B51" s="37" t="str">
        <f>'Приложение 3'!C57</f>
        <v>0107</v>
      </c>
      <c r="C51" s="37" t="str">
        <f>'Приложение 3'!D57</f>
        <v>99</v>
      </c>
      <c r="D51" s="37" t="str">
        <f>'Приложение 3'!E57</f>
        <v>0</v>
      </c>
      <c r="E51" s="37"/>
      <c r="F51" s="36">
        <f>'Приложение 3'!G57</f>
        <v>0</v>
      </c>
      <c r="G51" s="36">
        <f>'Приложение 3'!H57</f>
        <v>0</v>
      </c>
      <c r="H51" s="93" t="e">
        <f t="shared" si="0"/>
        <v>#DIV/0!</v>
      </c>
    </row>
    <row r="52" spans="1:8" ht="30" customHeight="1" outlineLevel="5">
      <c r="A52" s="72" t="str">
        <f>'Приложение 3'!A58</f>
        <v>Непрограммные расходы органов местного самоуправления Алексеевского муниципального района</v>
      </c>
      <c r="B52" s="37" t="str">
        <f>'Приложение 3'!C58</f>
        <v>0107</v>
      </c>
      <c r="C52" s="37" t="str">
        <f>'Приложение 3'!D58</f>
        <v>99</v>
      </c>
      <c r="D52" s="37" t="str">
        <f>'Приложение 3'!E58</f>
        <v>0</v>
      </c>
      <c r="E52" s="37"/>
      <c r="F52" s="36">
        <f>'Приложение 3'!G58</f>
        <v>0</v>
      </c>
      <c r="G52" s="36">
        <f>'Приложение 3'!H58</f>
        <v>0</v>
      </c>
      <c r="H52" s="93" t="e">
        <f t="shared" si="0"/>
        <v>#DIV/0!</v>
      </c>
    </row>
    <row r="53" spans="1:8" ht="24" outlineLevel="5">
      <c r="A53" s="72" t="str">
        <f>'Приложение 3'!A59</f>
        <v>Закупка товаров, работ и услуг для государственных (муниципальных) нужд</v>
      </c>
      <c r="B53" s="37" t="str">
        <f>'Приложение 3'!C59</f>
        <v>0107</v>
      </c>
      <c r="C53" s="37" t="str">
        <f>'Приложение 3'!D59</f>
        <v>99</v>
      </c>
      <c r="D53" s="37">
        <f>'Приложение 3'!E59</f>
        <v>0</v>
      </c>
      <c r="E53" s="37">
        <f>'Приложение 3'!F59</f>
        <v>200</v>
      </c>
      <c r="F53" s="36">
        <f>'Приложение 3'!G59</f>
        <v>0</v>
      </c>
      <c r="G53" s="36">
        <f>'Приложение 3'!H59</f>
        <v>0</v>
      </c>
      <c r="H53" s="93" t="e">
        <f t="shared" si="0"/>
        <v>#DIV/0!</v>
      </c>
    </row>
    <row r="54" spans="1:8" ht="12.75" outlineLevel="5">
      <c r="A54" s="72" t="str">
        <f>'Приложение 3'!A60</f>
        <v>Резервные фонды</v>
      </c>
      <c r="B54" s="37" t="str">
        <f>'Приложение 3'!C60</f>
        <v>0111</v>
      </c>
      <c r="C54" s="37"/>
      <c r="D54" s="37"/>
      <c r="E54" s="37"/>
      <c r="F54" s="36">
        <f>'Приложение 3'!G60</f>
        <v>320</v>
      </c>
      <c r="G54" s="36">
        <f>'Приложение 3'!H60</f>
        <v>0</v>
      </c>
      <c r="H54" s="93">
        <f t="shared" si="0"/>
        <v>0</v>
      </c>
    </row>
    <row r="55" spans="1:8" ht="30.75" customHeight="1" outlineLevel="1">
      <c r="A55" s="72" t="str">
        <f>'Приложение 3'!A61</f>
        <v>Непрограммные расходы органов местного самоуправления Алексеевского муниципального района</v>
      </c>
      <c r="B55" s="37" t="str">
        <f>'Приложение 3'!C61</f>
        <v>0111</v>
      </c>
      <c r="C55" s="37" t="str">
        <f>'Приложение 3'!D61</f>
        <v>99</v>
      </c>
      <c r="D55" s="37" t="str">
        <f>'Приложение 3'!E61</f>
        <v>0</v>
      </c>
      <c r="E55" s="37"/>
      <c r="F55" s="36">
        <f>'Приложение 3'!G61</f>
        <v>320</v>
      </c>
      <c r="G55" s="36">
        <f>'Приложение 3'!H61</f>
        <v>0</v>
      </c>
      <c r="H55" s="93">
        <f t="shared" si="0"/>
        <v>0</v>
      </c>
    </row>
    <row r="56" spans="1:8" ht="18.75" customHeight="1" outlineLevel="2">
      <c r="A56" s="72" t="str">
        <f>'Приложение 3'!A62</f>
        <v>Иные бюджетные ассигнования</v>
      </c>
      <c r="B56" s="37" t="str">
        <f>'Приложение 3'!C62</f>
        <v>0111</v>
      </c>
      <c r="C56" s="37" t="str">
        <f>'Приложение 3'!D62</f>
        <v>99</v>
      </c>
      <c r="D56" s="37" t="str">
        <f>'Приложение 3'!E62</f>
        <v>0</v>
      </c>
      <c r="E56" s="37">
        <f>'Приложение 3'!F62</f>
        <v>800</v>
      </c>
      <c r="F56" s="36">
        <f>'Приложение 3'!G62</f>
        <v>320</v>
      </c>
      <c r="G56" s="36">
        <f>'Приложение 3'!H62</f>
        <v>0</v>
      </c>
      <c r="H56" s="93">
        <f t="shared" si="0"/>
        <v>0</v>
      </c>
    </row>
    <row r="57" spans="1:8" ht="18" customHeight="1" outlineLevel="2">
      <c r="A57" s="72" t="str">
        <f>'Приложение 3'!A63</f>
        <v>Другие общегосударственные вопросы</v>
      </c>
      <c r="B57" s="37" t="str">
        <f>'Приложение 3'!C63</f>
        <v>0113</v>
      </c>
      <c r="C57" s="37"/>
      <c r="D57" s="37"/>
      <c r="E57" s="37"/>
      <c r="F57" s="36">
        <f>'Приложение 3'!G63</f>
        <v>33385.21</v>
      </c>
      <c r="G57" s="36">
        <f>'Приложение 3'!H63</f>
        <v>27435.54417</v>
      </c>
      <c r="H57" s="93">
        <f t="shared" si="0"/>
        <v>82.17873774045454</v>
      </c>
    </row>
    <row r="58" spans="1:8" ht="48" customHeight="1" outlineLevel="2">
      <c r="A58" s="72" t="str">
        <f>'Приложение 3'!A64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58" s="37" t="str">
        <f>'Приложение 3'!C64</f>
        <v>0113</v>
      </c>
      <c r="C58" s="37" t="str">
        <f>'Приложение 3'!D64</f>
        <v>02</v>
      </c>
      <c r="D58" s="37">
        <f>'Приложение 3'!E64</f>
        <v>0</v>
      </c>
      <c r="E58" s="37"/>
      <c r="F58" s="36">
        <f>'Приложение 3'!G64</f>
        <v>2180</v>
      </c>
      <c r="G58" s="36">
        <f>'Приложение 3'!H64</f>
        <v>572.32</v>
      </c>
      <c r="H58" s="93">
        <f t="shared" si="0"/>
        <v>26.253211009174315</v>
      </c>
    </row>
    <row r="59" spans="1:8" ht="48" customHeight="1" outlineLevel="2">
      <c r="A59" s="72" t="str">
        <f>'Приложение 3'!A65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37" t="str">
        <f>'Приложение 3'!C65</f>
        <v>0113</v>
      </c>
      <c r="C59" s="37" t="str">
        <f>'Приложение 3'!D65</f>
        <v>02</v>
      </c>
      <c r="D59" s="37">
        <f>'Приложение 3'!E65</f>
        <v>3</v>
      </c>
      <c r="E59" s="37"/>
      <c r="F59" s="36">
        <f>'Приложение 3'!G65</f>
        <v>2000</v>
      </c>
      <c r="G59" s="36">
        <f>'Приложение 3'!H65</f>
        <v>499.85</v>
      </c>
      <c r="H59" s="93">
        <f t="shared" si="0"/>
        <v>24.9925</v>
      </c>
    </row>
    <row r="60" spans="1:8" ht="29.25" customHeight="1" outlineLevel="2">
      <c r="A60" s="72" t="str">
        <f>'Приложение 3'!A66</f>
        <v>Предоставление субсидий бюджетным, автономным учреждениям и иным некоммерческим организациям</v>
      </c>
      <c r="B60" s="37" t="str">
        <f>'Приложение 3'!C66</f>
        <v>0113</v>
      </c>
      <c r="C60" s="37" t="str">
        <f>'Приложение 3'!D66</f>
        <v>02</v>
      </c>
      <c r="D60" s="37">
        <f>'Приложение 3'!E66</f>
        <v>3</v>
      </c>
      <c r="E60" s="37"/>
      <c r="F60" s="36">
        <f>'Приложение 3'!G66</f>
        <v>2000</v>
      </c>
      <c r="G60" s="36">
        <f>'Приложение 3'!H66</f>
        <v>499.85</v>
      </c>
      <c r="H60" s="93">
        <f t="shared" si="0"/>
        <v>24.9925</v>
      </c>
    </row>
    <row r="61" spans="1:8" ht="34.5" customHeight="1" outlineLevel="2">
      <c r="A61" s="72" t="str">
        <f>'Приложение 3'!A67</f>
        <v>Подпрограмма "Энергосбережение и повышение энергетической эффективности Алексеевского муниципального района"</v>
      </c>
      <c r="B61" s="37" t="str">
        <f>'Приложение 3'!C67</f>
        <v>0113</v>
      </c>
      <c r="C61" s="37" t="str">
        <f>'Приложение 3'!D67</f>
        <v>02</v>
      </c>
      <c r="D61" s="37">
        <f>'Приложение 3'!E67</f>
        <v>4</v>
      </c>
      <c r="E61" s="37"/>
      <c r="F61" s="36">
        <f>'Приложение 3'!G67</f>
        <v>180</v>
      </c>
      <c r="G61" s="36">
        <f>'Приложение 3'!H67</f>
        <v>72.47</v>
      </c>
      <c r="H61" s="93">
        <f t="shared" si="0"/>
        <v>40.261111111111106</v>
      </c>
    </row>
    <row r="62" spans="1:8" ht="33" customHeight="1" outlineLevel="2">
      <c r="A62" s="72" t="str">
        <f>'Приложение 3'!A68</f>
        <v>Предоставление субсидий бюджетным, автономным учреждениям и иным некоммерческим организациям</v>
      </c>
      <c r="B62" s="37" t="str">
        <f>'Приложение 3'!C68</f>
        <v>0113</v>
      </c>
      <c r="C62" s="37" t="str">
        <f>'Приложение 3'!D68</f>
        <v>02</v>
      </c>
      <c r="D62" s="37">
        <f>'Приложение 3'!E68</f>
        <v>4</v>
      </c>
      <c r="E62" s="37">
        <f>'Приложение 3'!F68</f>
        <v>600</v>
      </c>
      <c r="F62" s="36">
        <f>'Приложение 3'!G68</f>
        <v>180</v>
      </c>
      <c r="G62" s="36">
        <f>'Приложение 3'!H68</f>
        <v>72.47</v>
      </c>
      <c r="H62" s="93">
        <f t="shared" si="0"/>
        <v>40.261111111111106</v>
      </c>
    </row>
    <row r="63" spans="1:8" ht="24" outlineLevel="2">
      <c r="A63" s="72" t="str">
        <f>'Приложение 3'!A69</f>
        <v>Муниципальная программа "Маршрут Победы на 2016-2018 годы"</v>
      </c>
      <c r="B63" s="37" t="str">
        <f>'Приложение 3'!C69</f>
        <v>0113</v>
      </c>
      <c r="C63" s="37" t="str">
        <f>'Приложение 3'!D69</f>
        <v>15</v>
      </c>
      <c r="D63" s="37">
        <f>'Приложение 3'!E69</f>
        <v>0</v>
      </c>
      <c r="E63" s="37"/>
      <c r="F63" s="36">
        <f>'Приложение 3'!G69</f>
        <v>75</v>
      </c>
      <c r="G63" s="36">
        <f>'Приложение 3'!H69</f>
        <v>73.066</v>
      </c>
      <c r="H63" s="93">
        <f t="shared" si="0"/>
        <v>97.42133333333334</v>
      </c>
    </row>
    <row r="64" spans="1:8" ht="24" outlineLevel="2">
      <c r="A64" s="72" t="str">
        <f>'Приложение 3'!A70</f>
        <v>Закупка товаров, работ и услуг для государственных (муниципальных) нужд</v>
      </c>
      <c r="B64" s="37" t="str">
        <f>'Приложение 3'!C70</f>
        <v>0113</v>
      </c>
      <c r="C64" s="37" t="str">
        <f>'Приложение 3'!D70</f>
        <v>15</v>
      </c>
      <c r="D64" s="37">
        <f>'Приложение 3'!E70</f>
        <v>0</v>
      </c>
      <c r="E64" s="37">
        <f>'Приложение 3'!F70</f>
        <v>200</v>
      </c>
      <c r="F64" s="36">
        <f>'Приложение 3'!G70</f>
        <v>75</v>
      </c>
      <c r="G64" s="36">
        <f>'Приложение 3'!H70</f>
        <v>73.066</v>
      </c>
      <c r="H64" s="93">
        <f t="shared" si="0"/>
        <v>97.42133333333334</v>
      </c>
    </row>
    <row r="65" spans="1:8" ht="48" outlineLevel="2">
      <c r="A65" s="72" t="str">
        <f>'Приложение 3'!A71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65" s="37" t="str">
        <f>'Приложение 3'!C71</f>
        <v>0113</v>
      </c>
      <c r="C65" s="37" t="str">
        <f>'Приложение 3'!D71</f>
        <v>20</v>
      </c>
      <c r="D65" s="37">
        <f>'Приложение 3'!E71</f>
        <v>0</v>
      </c>
      <c r="E65" s="37"/>
      <c r="F65" s="36">
        <f>'Приложение 3'!G71</f>
        <v>100</v>
      </c>
      <c r="G65" s="36">
        <f>'Приложение 3'!H71</f>
        <v>0</v>
      </c>
      <c r="H65" s="93">
        <f t="shared" si="0"/>
        <v>0</v>
      </c>
    </row>
    <row r="66" spans="1:8" ht="24" outlineLevel="2">
      <c r="A66" s="72" t="str">
        <f>'Приложение 3'!A72</f>
        <v>Закупка товаров, работ и услуг для государственных (муниципальных) нужд</v>
      </c>
      <c r="B66" s="37" t="str">
        <f>'Приложение 3'!C72</f>
        <v>0113</v>
      </c>
      <c r="C66" s="37" t="str">
        <f>'Приложение 3'!D72</f>
        <v>20</v>
      </c>
      <c r="D66" s="37">
        <f>'Приложение 3'!E72</f>
        <v>0</v>
      </c>
      <c r="E66" s="37">
        <f>'Приложение 3'!F72</f>
        <v>200</v>
      </c>
      <c r="F66" s="36">
        <f>'Приложение 3'!G72</f>
        <v>100</v>
      </c>
      <c r="G66" s="36">
        <f>'Приложение 3'!H72</f>
        <v>0</v>
      </c>
      <c r="H66" s="93">
        <f t="shared" si="0"/>
        <v>0</v>
      </c>
    </row>
    <row r="67" spans="1:8" ht="36" outlineLevel="2">
      <c r="A67" s="72" t="str">
        <f>'Приложение 3'!A73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67" s="37" t="str">
        <f>'Приложение 3'!C73</f>
        <v>0113</v>
      </c>
      <c r="C67" s="37" t="str">
        <f>'Приложение 3'!D73</f>
        <v>23</v>
      </c>
      <c r="D67" s="37">
        <f>'Приложение 3'!E73</f>
        <v>0</v>
      </c>
      <c r="E67" s="37"/>
      <c r="F67" s="36">
        <f>'Приложение 3'!G73</f>
        <v>50</v>
      </c>
      <c r="G67" s="36">
        <f>'Приложение 3'!H73</f>
        <v>0</v>
      </c>
      <c r="H67" s="93">
        <f t="shared" si="0"/>
        <v>0</v>
      </c>
    </row>
    <row r="68" spans="1:8" ht="24" outlineLevel="2">
      <c r="A68" s="72" t="str">
        <f>'Приложение 3'!A74</f>
        <v>Закупка товаров, работ и услуг для государственных (муниципальных) нужд</v>
      </c>
      <c r="B68" s="37" t="str">
        <f>'Приложение 3'!C74</f>
        <v>0113</v>
      </c>
      <c r="C68" s="37" t="str">
        <f>'Приложение 3'!D74</f>
        <v>23</v>
      </c>
      <c r="D68" s="37">
        <f>'Приложение 3'!E74</f>
        <v>0</v>
      </c>
      <c r="E68" s="37">
        <f>'Приложение 3'!F74</f>
        <v>200</v>
      </c>
      <c r="F68" s="36">
        <f>'Приложение 3'!G74</f>
        <v>50</v>
      </c>
      <c r="G68" s="36">
        <f>'Приложение 3'!H74</f>
        <v>0</v>
      </c>
      <c r="H68" s="93">
        <f t="shared" si="0"/>
        <v>0</v>
      </c>
    </row>
    <row r="69" spans="1:8" ht="84" customHeight="1" outlineLevel="2">
      <c r="A69" s="72" t="str">
        <f>'Приложение 3'!A75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69" s="37" t="str">
        <f>'Приложение 3'!C75</f>
        <v>0113</v>
      </c>
      <c r="C69" s="37" t="str">
        <f>'Приложение 3'!D75</f>
        <v>50</v>
      </c>
      <c r="D69" s="37">
        <f>'Приложение 3'!E75</f>
        <v>0</v>
      </c>
      <c r="E69" s="37"/>
      <c r="F69" s="36">
        <f>'Приложение 3'!G75</f>
        <v>4028.8</v>
      </c>
      <c r="G69" s="36">
        <f>'Приложение 3'!H75</f>
        <v>3773.93093</v>
      </c>
      <c r="H69" s="93">
        <f t="shared" si="0"/>
        <v>93.67382173351866</v>
      </c>
    </row>
    <row r="70" spans="1:8" ht="24" outlineLevel="2">
      <c r="A70" s="72" t="str">
        <f>'Приложение 3'!A76</f>
        <v>Предоставление субсидий бюджетным, автономным учреждениям и иным некоммерческим организациям</v>
      </c>
      <c r="B70" s="37" t="str">
        <f>'Приложение 3'!C76</f>
        <v>0113</v>
      </c>
      <c r="C70" s="37" t="str">
        <f>'Приложение 3'!D76</f>
        <v>50</v>
      </c>
      <c r="D70" s="37">
        <f>'Приложение 3'!E76</f>
        <v>0</v>
      </c>
      <c r="E70" s="37">
        <f>'Приложение 3'!F76</f>
        <v>600</v>
      </c>
      <c r="F70" s="36">
        <f>'Приложение 3'!G76</f>
        <v>4028.8</v>
      </c>
      <c r="G70" s="36">
        <f>'Приложение 3'!H76</f>
        <v>3773.93093</v>
      </c>
      <c r="H70" s="93">
        <f t="shared" si="0"/>
        <v>93.67382173351866</v>
      </c>
    </row>
    <row r="71" spans="1:8" ht="60" outlineLevel="2">
      <c r="A71" s="72" t="str">
        <f>'Приложение 3'!A77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71" s="37" t="str">
        <f>'Приложение 3'!C77</f>
        <v>0113</v>
      </c>
      <c r="C71" s="37" t="str">
        <f>'Приложение 3'!D77</f>
        <v>51</v>
      </c>
      <c r="D71" s="37">
        <f>'Приложение 3'!E77</f>
        <v>0</v>
      </c>
      <c r="E71" s="37"/>
      <c r="F71" s="36">
        <f>'Приложение 3'!G77</f>
        <v>23500</v>
      </c>
      <c r="G71" s="36">
        <f>'Приложение 3'!H77</f>
        <v>20703.00821</v>
      </c>
      <c r="H71" s="93">
        <f t="shared" si="0"/>
        <v>88.09790727659575</v>
      </c>
    </row>
    <row r="72" spans="1:8" ht="24" outlineLevel="2">
      <c r="A72" s="72" t="str">
        <f>'Приложение 3'!A78</f>
        <v>Предоставление субсидий бюджетным, автономным учреждениям и иным некоммерческим организациям</v>
      </c>
      <c r="B72" s="37" t="str">
        <f>'Приложение 3'!C78</f>
        <v>0113</v>
      </c>
      <c r="C72" s="37" t="str">
        <f>'Приложение 3'!D78</f>
        <v>51</v>
      </c>
      <c r="D72" s="37">
        <f>'Приложение 3'!E78</f>
        <v>0</v>
      </c>
      <c r="E72" s="37">
        <f>'Приложение 3'!F78</f>
        <v>600</v>
      </c>
      <c r="F72" s="36">
        <f>'Приложение 3'!G78</f>
        <v>23500</v>
      </c>
      <c r="G72" s="36">
        <f>'Приложение 3'!H78</f>
        <v>20703.00821</v>
      </c>
      <c r="H72" s="93">
        <f t="shared" si="0"/>
        <v>88.09790727659575</v>
      </c>
    </row>
    <row r="73" spans="1:8" ht="12.75" outlineLevel="2">
      <c r="A73" s="72" t="str">
        <f>'Приложение 3'!A79</f>
        <v>Государственная  регистрация актов гражданского состояния</v>
      </c>
      <c r="B73" s="37" t="str">
        <f>'Приложение 3'!C79</f>
        <v>0113</v>
      </c>
      <c r="C73" s="37">
        <f>'Приложение 3'!D79</f>
        <v>0</v>
      </c>
      <c r="D73" s="37">
        <f>'Приложение 3'!E79</f>
        <v>0</v>
      </c>
      <c r="E73" s="37"/>
      <c r="F73" s="36">
        <f>'Приложение 3'!G79</f>
        <v>1061.4</v>
      </c>
      <c r="G73" s="36">
        <f>'Приложение 3'!H79</f>
        <v>732.6768400000001</v>
      </c>
      <c r="H73" s="93">
        <f t="shared" si="0"/>
        <v>69.02928584887884</v>
      </c>
    </row>
    <row r="74" spans="1:8" ht="36" outlineLevel="2">
      <c r="A74" s="72" t="str">
        <f>'Приложение 3'!A80</f>
        <v>Непрограммные направления обеспечения деятельности органов местного самоуправления Алексеевского муниципального района</v>
      </c>
      <c r="B74" s="37" t="str">
        <f>'Приложение 3'!C80</f>
        <v>0113</v>
      </c>
      <c r="C74" s="37" t="str">
        <f>'Приложение 3'!D80</f>
        <v>90</v>
      </c>
      <c r="D74" s="37">
        <f>'Приложение 3'!E80</f>
        <v>0</v>
      </c>
      <c r="E74" s="37"/>
      <c r="F74" s="36">
        <f>'Приложение 3'!G80</f>
        <v>1061.4</v>
      </c>
      <c r="G74" s="36">
        <f>'Приложение 3'!H80</f>
        <v>732.6768400000001</v>
      </c>
      <c r="H74" s="93">
        <f aca="true" t="shared" si="1" ref="H74:H137">SUM(G74/F74)*100</f>
        <v>69.02928584887884</v>
      </c>
    </row>
    <row r="75" spans="1:8" ht="48" outlineLevel="2">
      <c r="A75" s="72" t="str">
        <f>'Приложение 3'!A81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5" s="37" t="str">
        <f>'Приложение 3'!C81</f>
        <v>0113</v>
      </c>
      <c r="C75" s="37" t="str">
        <f>'Приложение 3'!D81</f>
        <v>90</v>
      </c>
      <c r="D75" s="37" t="str">
        <f>'Приложение 3'!E81</f>
        <v>0</v>
      </c>
      <c r="E75" s="37">
        <f>'Приложение 3'!F81</f>
        <v>100</v>
      </c>
      <c r="F75" s="36">
        <f>'Приложение 3'!G81</f>
        <v>841.7</v>
      </c>
      <c r="G75" s="36">
        <f>'Приложение 3'!H81</f>
        <v>598.18416</v>
      </c>
      <c r="H75" s="93">
        <f t="shared" si="1"/>
        <v>71.06857074967327</v>
      </c>
    </row>
    <row r="76" spans="1:8" ht="24" outlineLevel="2">
      <c r="A76" s="72" t="str">
        <f>'Приложение 3'!A82</f>
        <v>Закупка товаров, работ и услуг для государственных (муниципальных) нужд</v>
      </c>
      <c r="B76" s="37" t="str">
        <f>'Приложение 3'!C82</f>
        <v>0113</v>
      </c>
      <c r="C76" s="37" t="str">
        <f>'Приложение 3'!D82</f>
        <v>90</v>
      </c>
      <c r="D76" s="37" t="str">
        <f>'Приложение 3'!E82</f>
        <v>0</v>
      </c>
      <c r="E76" s="37">
        <f>'Приложение 3'!F82</f>
        <v>200</v>
      </c>
      <c r="F76" s="36">
        <f>'Приложение 3'!G82</f>
        <v>219.7</v>
      </c>
      <c r="G76" s="36">
        <f>'Приложение 3'!H82</f>
        <v>134.49268</v>
      </c>
      <c r="H76" s="93">
        <f t="shared" si="1"/>
        <v>61.21651342740101</v>
      </c>
    </row>
    <row r="77" spans="1:8" ht="32.25" customHeight="1" outlineLevel="2">
      <c r="A77" s="72" t="str">
        <f>'Приложение 3'!A83</f>
        <v>Оценка недвижимости, признание прав и регулирование отношений  по муниципальной собственности</v>
      </c>
      <c r="B77" s="37" t="str">
        <f>'Приложение 3'!C83</f>
        <v>0113</v>
      </c>
      <c r="C77" s="37" t="str">
        <f>'Приложение 3'!D83</f>
        <v>99</v>
      </c>
      <c r="D77" s="37">
        <f>'Приложение 3'!E83</f>
        <v>0</v>
      </c>
      <c r="E77" s="37"/>
      <c r="F77" s="36">
        <f>'Приложение 3'!G83</f>
        <v>100</v>
      </c>
      <c r="G77" s="36">
        <f>'Приложение 3'!H83</f>
        <v>34.5</v>
      </c>
      <c r="H77" s="93">
        <f t="shared" si="1"/>
        <v>34.5</v>
      </c>
    </row>
    <row r="78" spans="1:8" ht="31.5" customHeight="1" outlineLevel="2">
      <c r="A78" s="72" t="str">
        <f>'Приложение 3'!A84</f>
        <v>Непрограммные расходы органов местного самоуправления Алексеевского муниципального района</v>
      </c>
      <c r="B78" s="37" t="str">
        <f>'Приложение 3'!C84</f>
        <v>0113</v>
      </c>
      <c r="C78" s="37" t="str">
        <f>'Приложение 3'!D84</f>
        <v>99</v>
      </c>
      <c r="D78" s="37" t="str">
        <f>'Приложение 3'!E84</f>
        <v>0</v>
      </c>
      <c r="E78" s="37"/>
      <c r="F78" s="36">
        <f>'Приложение 3'!G84</f>
        <v>100</v>
      </c>
      <c r="G78" s="36">
        <f>'Приложение 3'!H84</f>
        <v>34.5</v>
      </c>
      <c r="H78" s="93">
        <f t="shared" si="1"/>
        <v>34.5</v>
      </c>
    </row>
    <row r="79" spans="1:8" ht="28.5" customHeight="1" outlineLevel="2">
      <c r="A79" s="72" t="str">
        <f>'Приложение 3'!A85</f>
        <v>Закупка товаров, работ и услуг для государственных (муниципальных) нужд</v>
      </c>
      <c r="B79" s="37" t="str">
        <f>'Приложение 3'!C85</f>
        <v>0113</v>
      </c>
      <c r="C79" s="37" t="str">
        <f>'Приложение 3'!D85</f>
        <v>99</v>
      </c>
      <c r="D79" s="37" t="str">
        <f>'Приложение 3'!E85</f>
        <v>0</v>
      </c>
      <c r="E79" s="37">
        <f>'Приложение 3'!F85</f>
        <v>200</v>
      </c>
      <c r="F79" s="36">
        <f>'Приложение 3'!G85</f>
        <v>100</v>
      </c>
      <c r="G79" s="36">
        <f>'Приложение 3'!H85</f>
        <v>34.5</v>
      </c>
      <c r="H79" s="93">
        <f t="shared" si="1"/>
        <v>34.5</v>
      </c>
    </row>
    <row r="80" spans="1:8" ht="24" outlineLevel="5">
      <c r="A80" s="72" t="str">
        <f>'Приложение 3'!A86</f>
        <v>Реализация  государственных функций, связанных с общегосударственным управлением</v>
      </c>
      <c r="B80" s="37" t="str">
        <f>'Приложение 3'!C86</f>
        <v>0113</v>
      </c>
      <c r="C80" s="37" t="str">
        <f>'Приложение 3'!D86</f>
        <v>99</v>
      </c>
      <c r="D80" s="37">
        <f>'Приложение 3'!E86</f>
        <v>0</v>
      </c>
      <c r="E80" s="37"/>
      <c r="F80" s="36">
        <f>'Приложение 3'!G86</f>
        <v>2290.01</v>
      </c>
      <c r="G80" s="36">
        <f>'Приложение 3'!H86</f>
        <v>1546.04219</v>
      </c>
      <c r="H80" s="93">
        <f t="shared" si="1"/>
        <v>67.51246457439049</v>
      </c>
    </row>
    <row r="81" spans="1:8" ht="29.25" customHeight="1" outlineLevel="5">
      <c r="A81" s="72" t="str">
        <f>'Приложение 3'!A87</f>
        <v>Непрограммные расходы органов местного самоуправления Алексеевского муниципального района</v>
      </c>
      <c r="B81" s="37" t="str">
        <f>'Приложение 3'!C87</f>
        <v>0113</v>
      </c>
      <c r="C81" s="37" t="str">
        <f>'Приложение 3'!D87</f>
        <v>99</v>
      </c>
      <c r="D81" s="37" t="str">
        <f>'Приложение 3'!E87</f>
        <v>0</v>
      </c>
      <c r="E81" s="37"/>
      <c r="F81" s="36">
        <f>'Приложение 3'!G87</f>
        <v>2290.01</v>
      </c>
      <c r="G81" s="36">
        <f>'Приложение 3'!H87</f>
        <v>1546.04219</v>
      </c>
      <c r="H81" s="93">
        <f t="shared" si="1"/>
        <v>67.51246457439049</v>
      </c>
    </row>
    <row r="82" spans="1:8" ht="24" outlineLevel="5">
      <c r="A82" s="72" t="str">
        <f>'Приложение 3'!A88</f>
        <v>Закупка товаров, работ и услуг для государственных (муниципальных) нужд</v>
      </c>
      <c r="B82" s="37" t="str">
        <f>'Приложение 3'!C88</f>
        <v>0113</v>
      </c>
      <c r="C82" s="37" t="str">
        <f>'Приложение 3'!D88</f>
        <v>99</v>
      </c>
      <c r="D82" s="37">
        <f>'Приложение 3'!E88</f>
        <v>0</v>
      </c>
      <c r="E82" s="37">
        <f>'Приложение 3'!F88</f>
        <v>200</v>
      </c>
      <c r="F82" s="36">
        <f>'Приложение 3'!G88</f>
        <v>555.01</v>
      </c>
      <c r="G82" s="36">
        <f>'Приложение 3'!H88</f>
        <v>373.71254</v>
      </c>
      <c r="H82" s="93">
        <f t="shared" si="1"/>
        <v>67.33437956072864</v>
      </c>
    </row>
    <row r="83" spans="1:8" ht="22.5" customHeight="1" outlineLevel="5">
      <c r="A83" s="72" t="str">
        <f>'Приложение 3'!A89</f>
        <v>Социальное обеспечение и иные выплаты населению</v>
      </c>
      <c r="B83" s="37" t="str">
        <f>'Приложение 3'!C89</f>
        <v>0113</v>
      </c>
      <c r="C83" s="37" t="str">
        <f>'Приложение 3'!D89</f>
        <v>99</v>
      </c>
      <c r="D83" s="37">
        <f>'Приложение 3'!E89</f>
        <v>0</v>
      </c>
      <c r="E83" s="37">
        <f>'Приложение 3'!F89</f>
        <v>300</v>
      </c>
      <c r="F83" s="36">
        <f>'Приложение 3'!G89</f>
        <v>530</v>
      </c>
      <c r="G83" s="36">
        <f>'Приложение 3'!H89</f>
        <v>60</v>
      </c>
      <c r="H83" s="93">
        <f t="shared" si="1"/>
        <v>11.320754716981133</v>
      </c>
    </row>
    <row r="84" spans="1:8" ht="12.75" outlineLevel="5">
      <c r="A84" s="72" t="str">
        <f>'Приложение 3'!A90</f>
        <v>Иные бюджетные ассигнования</v>
      </c>
      <c r="B84" s="37" t="str">
        <f>'Приложение 3'!C90</f>
        <v>0113</v>
      </c>
      <c r="C84" s="37" t="str">
        <f>'Приложение 3'!D90</f>
        <v>99</v>
      </c>
      <c r="D84" s="37">
        <f>'Приложение 3'!E90</f>
        <v>0</v>
      </c>
      <c r="E84" s="37">
        <f>'Приложение 3'!F90</f>
        <v>800</v>
      </c>
      <c r="F84" s="36">
        <f>'Приложение 3'!G90</f>
        <v>1205</v>
      </c>
      <c r="G84" s="36">
        <f>'Приложение 3'!H90</f>
        <v>1112.32965</v>
      </c>
      <c r="H84" s="93">
        <f t="shared" si="1"/>
        <v>92.30951452282157</v>
      </c>
    </row>
    <row r="85" spans="1:8" ht="12.75" outlineLevel="5">
      <c r="A85" s="72" t="str">
        <f>'Приложение 3'!A91</f>
        <v>Условно утвержденные расходы</v>
      </c>
      <c r="B85" s="37" t="str">
        <f>'Приложение 3'!C91</f>
        <v>0113</v>
      </c>
      <c r="C85" s="37" t="str">
        <f>'Приложение 3'!D91</f>
        <v>99</v>
      </c>
      <c r="D85" s="37">
        <f>'Приложение 3'!E91</f>
        <v>0</v>
      </c>
      <c r="E85" s="37" t="s">
        <v>173</v>
      </c>
      <c r="F85" s="36">
        <f>'Приложение 3'!G91</f>
        <v>0</v>
      </c>
      <c r="G85" s="36">
        <f>'Приложение 3'!H91</f>
        <v>0</v>
      </c>
      <c r="H85" s="93" t="e">
        <f t="shared" si="1"/>
        <v>#DIV/0!</v>
      </c>
    </row>
    <row r="86" spans="1:8" ht="12.75" outlineLevel="5">
      <c r="A86" s="72" t="str">
        <f>'Приложение 3'!A92</f>
        <v>Национальная оборона </v>
      </c>
      <c r="B86" s="37" t="str">
        <f>'Приложение 3'!C92</f>
        <v>0200</v>
      </c>
      <c r="C86" s="37"/>
      <c r="D86" s="37"/>
      <c r="E86" s="37"/>
      <c r="F86" s="36">
        <f>'Приложение 3'!G92</f>
        <v>20</v>
      </c>
      <c r="G86" s="36">
        <f>'Приложение 3'!H92</f>
        <v>0</v>
      </c>
      <c r="H86" s="93">
        <f t="shared" si="1"/>
        <v>0</v>
      </c>
    </row>
    <row r="87" spans="1:8" ht="12.75" outlineLevel="5">
      <c r="A87" s="72" t="str">
        <f>'Приложение 3'!A93</f>
        <v>Мобилизационная подготовка экономики</v>
      </c>
      <c r="B87" s="37" t="str">
        <f>'Приложение 3'!C93</f>
        <v>0204</v>
      </c>
      <c r="C87" s="37"/>
      <c r="D87" s="37"/>
      <c r="E87" s="37"/>
      <c r="F87" s="36">
        <f>'Приложение 3'!G93</f>
        <v>20</v>
      </c>
      <c r="G87" s="36">
        <f>'Приложение 3'!H93</f>
        <v>0</v>
      </c>
      <c r="H87" s="93">
        <f t="shared" si="1"/>
        <v>0</v>
      </c>
    </row>
    <row r="88" spans="1:8" ht="24" outlineLevel="2">
      <c r="A88" s="72" t="str">
        <f>'Приложение 3'!A94</f>
        <v>Мероприятия по обеспечению мобилизационной готовности экономики</v>
      </c>
      <c r="B88" s="37" t="str">
        <f>'Приложение 3'!C94</f>
        <v>0204</v>
      </c>
      <c r="C88" s="37"/>
      <c r="D88" s="37"/>
      <c r="E88" s="37"/>
      <c r="F88" s="36">
        <f>'Приложение 3'!G94</f>
        <v>20</v>
      </c>
      <c r="G88" s="36">
        <f>'Приложение 3'!H94</f>
        <v>0</v>
      </c>
      <c r="H88" s="93">
        <f t="shared" si="1"/>
        <v>0</v>
      </c>
    </row>
    <row r="89" spans="1:8" ht="24.75" customHeight="1" outlineLevel="5">
      <c r="A89" s="72" t="str">
        <f>'Приложение 3'!A95</f>
        <v>Непрограммные расходы органов местного самоуправления Алексеевского муниципального района</v>
      </c>
      <c r="B89" s="37" t="str">
        <f>'Приложение 3'!C95</f>
        <v>0204</v>
      </c>
      <c r="C89" s="37" t="str">
        <f>'Приложение 3'!D95</f>
        <v>99</v>
      </c>
      <c r="D89" s="37">
        <f>'Приложение 3'!E95</f>
        <v>0</v>
      </c>
      <c r="E89" s="37"/>
      <c r="F89" s="36">
        <f>'Приложение 3'!G95</f>
        <v>20</v>
      </c>
      <c r="G89" s="36">
        <f>'Приложение 3'!H95</f>
        <v>0</v>
      </c>
      <c r="H89" s="93">
        <f t="shared" si="1"/>
        <v>0</v>
      </c>
    </row>
    <row r="90" spans="1:8" ht="24.75" customHeight="1" outlineLevel="5">
      <c r="A90" s="72" t="str">
        <f>'Приложение 3'!A96</f>
        <v>Закупка товаров, работ и услуг для государственных (муниципальных) нужд</v>
      </c>
      <c r="B90" s="37" t="str">
        <f>'Приложение 3'!C96</f>
        <v>0204</v>
      </c>
      <c r="C90" s="37" t="str">
        <f>'Приложение 3'!D96</f>
        <v>99</v>
      </c>
      <c r="D90" s="37">
        <f>'Приложение 3'!E96</f>
        <v>0</v>
      </c>
      <c r="E90" s="37">
        <f>'Приложение 3'!F96</f>
        <v>200</v>
      </c>
      <c r="F90" s="36">
        <f>'Приложение 3'!G96</f>
        <v>20</v>
      </c>
      <c r="G90" s="36">
        <f>'Приложение 3'!H96</f>
        <v>0</v>
      </c>
      <c r="H90" s="93">
        <f t="shared" si="1"/>
        <v>0</v>
      </c>
    </row>
    <row r="91" spans="1:8" ht="24" outlineLevel="5">
      <c r="A91" s="72" t="str">
        <f>'Приложение 3'!A97</f>
        <v>Национальная безопасность и правоохранительная деятельность</v>
      </c>
      <c r="B91" s="37" t="str">
        <f>'Приложение 3'!C97</f>
        <v>0300</v>
      </c>
      <c r="C91" s="37"/>
      <c r="D91" s="37"/>
      <c r="E91" s="37"/>
      <c r="F91" s="36">
        <f>'Приложение 3'!G97</f>
        <v>270</v>
      </c>
      <c r="G91" s="36">
        <f>'Приложение 3'!H97</f>
        <v>177.666</v>
      </c>
      <c r="H91" s="93">
        <f t="shared" si="1"/>
        <v>65.80222222222221</v>
      </c>
    </row>
    <row r="92" spans="1:8" ht="36" outlineLevel="2">
      <c r="A92" s="72" t="str">
        <f>'Приложение 3'!A98</f>
        <v>Предупреждение и ликвидация последствий чрезвычайных ситуаций и стихийных бедствий природного и техногенного характера</v>
      </c>
      <c r="B92" s="37" t="str">
        <f>'Приложение 3'!C98</f>
        <v>0309</v>
      </c>
      <c r="C92" s="37"/>
      <c r="D92" s="37"/>
      <c r="E92" s="37"/>
      <c r="F92" s="36">
        <f>'Приложение 3'!G98</f>
        <v>250</v>
      </c>
      <c r="G92" s="36">
        <f>'Приложение 3'!H98</f>
        <v>177.666</v>
      </c>
      <c r="H92" s="93">
        <f t="shared" si="1"/>
        <v>71.0664</v>
      </c>
    </row>
    <row r="93" spans="1:8" ht="28.5" customHeight="1" outlineLevel="5">
      <c r="A93" s="72" t="str">
        <f>'Приложение 3'!A99</f>
        <v>Непрограммные расходы органов местного самоуправления Алексеевского муниципального района</v>
      </c>
      <c r="B93" s="37" t="str">
        <f>'Приложение 3'!C99</f>
        <v>0309</v>
      </c>
      <c r="C93" s="37" t="str">
        <f>'Приложение 3'!D99</f>
        <v>99</v>
      </c>
      <c r="D93" s="37">
        <f>'Приложение 3'!E99</f>
        <v>0</v>
      </c>
      <c r="E93" s="37"/>
      <c r="F93" s="36">
        <f>'Приложение 3'!G99</f>
        <v>250</v>
      </c>
      <c r="G93" s="36">
        <f>'Приложение 3'!H99</f>
        <v>177.666</v>
      </c>
      <c r="H93" s="93">
        <f t="shared" si="1"/>
        <v>71.0664</v>
      </c>
    </row>
    <row r="94" spans="1:8" ht="27" customHeight="1" outlineLevel="5">
      <c r="A94" s="72" t="str">
        <f>'Приложение 3'!A100</f>
        <v>Закупка товаров, работ и услуг для государственных (муниципальных) нужд</v>
      </c>
      <c r="B94" s="37" t="str">
        <f>'Приложение 3'!C100</f>
        <v>0309</v>
      </c>
      <c r="C94" s="37" t="str">
        <f>'Приложение 3'!D100</f>
        <v>99</v>
      </c>
      <c r="D94" s="37">
        <f>'Приложение 3'!E100</f>
        <v>0</v>
      </c>
      <c r="E94" s="37">
        <f>'Приложение 3'!F100</f>
        <v>200</v>
      </c>
      <c r="F94" s="36">
        <f>'Приложение 3'!G100</f>
        <v>250</v>
      </c>
      <c r="G94" s="36">
        <f>'Приложение 3'!H100</f>
        <v>177.666</v>
      </c>
      <c r="H94" s="93">
        <f t="shared" si="1"/>
        <v>71.0664</v>
      </c>
    </row>
    <row r="95" spans="1:8" ht="24" outlineLevel="1">
      <c r="A95" s="72" t="str">
        <f>'Приложение 3'!A101</f>
        <v>Подготовка населения и организаций к действиям в чрезвычайных ситуациях в мирное и военное время</v>
      </c>
      <c r="B95" s="37" t="str">
        <f>'Приложение 3'!C101</f>
        <v>0309</v>
      </c>
      <c r="C95" s="37"/>
      <c r="D95" s="37"/>
      <c r="E95" s="37"/>
      <c r="F95" s="36">
        <f>'Приложение 3'!G101</f>
        <v>20</v>
      </c>
      <c r="G95" s="36">
        <f>'Приложение 3'!H101</f>
        <v>0</v>
      </c>
      <c r="H95" s="93">
        <f t="shared" si="1"/>
        <v>0</v>
      </c>
    </row>
    <row r="96" spans="1:8" ht="28.5" customHeight="1" outlineLevel="2">
      <c r="A96" s="72" t="str">
        <f>'Приложение 3'!A102</f>
        <v>Непрограммные расходы органов местного самоуправления Алексеевского муниципального района</v>
      </c>
      <c r="B96" s="37" t="str">
        <f>'Приложение 3'!C102</f>
        <v>0309</v>
      </c>
      <c r="C96" s="37" t="str">
        <f>'Приложение 3'!D102</f>
        <v>99</v>
      </c>
      <c r="D96" s="37">
        <f>'Приложение 3'!E102</f>
        <v>0</v>
      </c>
      <c r="E96" s="37"/>
      <c r="F96" s="36">
        <f>'Приложение 3'!G102</f>
        <v>20</v>
      </c>
      <c r="G96" s="36">
        <f>'Приложение 3'!H102</f>
        <v>0</v>
      </c>
      <c r="H96" s="93">
        <f t="shared" si="1"/>
        <v>0</v>
      </c>
    </row>
    <row r="97" spans="1:8" ht="27" customHeight="1" outlineLevel="3">
      <c r="A97" s="72" t="str">
        <f>'Приложение 3'!A103</f>
        <v>Закупка товаров, работ и услуг для государственных (муниципальных) нужд</v>
      </c>
      <c r="B97" s="37" t="str">
        <f>'Приложение 3'!C103</f>
        <v>0309</v>
      </c>
      <c r="C97" s="37" t="str">
        <f>'Приложение 3'!D103</f>
        <v>99</v>
      </c>
      <c r="D97" s="37">
        <f>'Приложение 3'!E103</f>
        <v>0</v>
      </c>
      <c r="E97" s="37">
        <f>'Приложение 3'!F103</f>
        <v>200</v>
      </c>
      <c r="F97" s="36">
        <f>'Приложение 3'!G103</f>
        <v>20</v>
      </c>
      <c r="G97" s="36">
        <f>'Приложение 3'!H103</f>
        <v>0</v>
      </c>
      <c r="H97" s="93">
        <f t="shared" si="1"/>
        <v>0</v>
      </c>
    </row>
    <row r="98" spans="1:8" ht="12.75" outlineLevel="3">
      <c r="A98" s="72" t="str">
        <f>'Приложение 3'!A104</f>
        <v>Национальная экономика</v>
      </c>
      <c r="B98" s="37" t="str">
        <f>'Приложение 3'!C104</f>
        <v>0400</v>
      </c>
      <c r="C98" s="37"/>
      <c r="D98" s="37"/>
      <c r="E98" s="37"/>
      <c r="F98" s="36">
        <f>'Приложение 3'!G104</f>
        <v>20163.062719999998</v>
      </c>
      <c r="G98" s="36">
        <f>'Приложение 3'!H104</f>
        <v>10082.62873</v>
      </c>
      <c r="H98" s="93">
        <f t="shared" si="1"/>
        <v>50.00544247674691</v>
      </c>
    </row>
    <row r="99" spans="1:8" ht="12.75" outlineLevel="3">
      <c r="A99" s="72" t="str">
        <f>'Приложение 3'!A105</f>
        <v>Сельское хозяйство и рыболовство</v>
      </c>
      <c r="B99" s="37" t="str">
        <f>'Приложение 3'!C105</f>
        <v>0405</v>
      </c>
      <c r="C99" s="37"/>
      <c r="D99" s="37"/>
      <c r="E99" s="37"/>
      <c r="F99" s="36">
        <f>'Приложение 3'!G105</f>
        <v>21.3</v>
      </c>
      <c r="G99" s="36">
        <f>'Приложение 3'!H105</f>
        <v>0</v>
      </c>
      <c r="H99" s="93">
        <f t="shared" si="1"/>
        <v>0</v>
      </c>
    </row>
    <row r="100" spans="1:8" ht="48" outlineLevel="3">
      <c r="A100" s="72" t="str">
        <f>'Приложение 3'!A106</f>
        <v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v>
      </c>
      <c r="B100" s="37" t="str">
        <f>'Приложение 3'!C106</f>
        <v>0405</v>
      </c>
      <c r="C100" s="37"/>
      <c r="D100" s="37"/>
      <c r="E100" s="37"/>
      <c r="F100" s="36">
        <f>'Приложение 3'!G106</f>
        <v>21.3</v>
      </c>
      <c r="G100" s="36">
        <f>'Приложение 3'!H106</f>
        <v>0</v>
      </c>
      <c r="H100" s="93">
        <f t="shared" si="1"/>
        <v>0</v>
      </c>
    </row>
    <row r="101" spans="1:8" ht="30.75" customHeight="1" outlineLevel="3">
      <c r="A101" s="72" t="str">
        <f>'Приложение 3'!A107</f>
        <v>Непрограммные расходы органов местного самоуправления Алексеевского муниципального района</v>
      </c>
      <c r="B101" s="37" t="str">
        <f>'Приложение 3'!C107</f>
        <v>0405</v>
      </c>
      <c r="C101" s="37" t="str">
        <f>'Приложение 3'!D107</f>
        <v>99</v>
      </c>
      <c r="D101" s="37">
        <f>'Приложение 3'!E107</f>
        <v>0</v>
      </c>
      <c r="E101" s="37"/>
      <c r="F101" s="36">
        <f>'Приложение 3'!G107</f>
        <v>21.3</v>
      </c>
      <c r="G101" s="36">
        <f>'Приложение 3'!H107</f>
        <v>0</v>
      </c>
      <c r="H101" s="93">
        <f t="shared" si="1"/>
        <v>0</v>
      </c>
    </row>
    <row r="102" spans="1:8" ht="29.25" customHeight="1" outlineLevel="3">
      <c r="A102" s="72" t="str">
        <f>'Приложение 3'!A108</f>
        <v>Закупка товаров, работ и услуг для государственных (муниципальных) нужд</v>
      </c>
      <c r="B102" s="37" t="str">
        <f>'Приложение 3'!C108</f>
        <v>0405</v>
      </c>
      <c r="C102" s="37" t="str">
        <f>'Приложение 3'!D108</f>
        <v>99</v>
      </c>
      <c r="D102" s="37">
        <f>'Приложение 3'!E108</f>
        <v>0</v>
      </c>
      <c r="E102" s="37">
        <f>'Приложение 3'!F108</f>
        <v>200</v>
      </c>
      <c r="F102" s="36">
        <f>'Приложение 3'!G108</f>
        <v>21.3</v>
      </c>
      <c r="G102" s="36">
        <f>'Приложение 3'!H108</f>
        <v>0</v>
      </c>
      <c r="H102" s="93">
        <f t="shared" si="1"/>
        <v>0</v>
      </c>
    </row>
    <row r="103" spans="1:8" ht="12.75" outlineLevel="3">
      <c r="A103" s="72" t="str">
        <f>'Приложение 3'!A109</f>
        <v>Дорожное хозяйство (дорожные фонды)</v>
      </c>
      <c r="B103" s="37" t="str">
        <f>'Приложение 3'!C109</f>
        <v>0409</v>
      </c>
      <c r="C103" s="37"/>
      <c r="D103" s="37"/>
      <c r="E103" s="37"/>
      <c r="F103" s="36">
        <f>'Приложение 3'!G109</f>
        <v>16886.76272</v>
      </c>
      <c r="G103" s="36">
        <f>'Приложение 3'!H109</f>
        <v>9844.634</v>
      </c>
      <c r="H103" s="93">
        <f t="shared" si="1"/>
        <v>58.29793527175231</v>
      </c>
    </row>
    <row r="104" spans="1:8" ht="48" outlineLevel="3">
      <c r="A104" s="72" t="str">
        <f>'Приложение 3'!A110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104" s="37" t="str">
        <f>'Приложение 3'!C110</f>
        <v>0409</v>
      </c>
      <c r="C104" s="37" t="str">
        <f>'Приложение 3'!D110</f>
        <v>18</v>
      </c>
      <c r="D104" s="37">
        <f>'Приложение 3'!E110</f>
        <v>0</v>
      </c>
      <c r="E104" s="37"/>
      <c r="F104" s="36">
        <f>'Приложение 3'!G110</f>
        <v>16886.76272</v>
      </c>
      <c r="G104" s="36">
        <f>'Приложение 3'!H110</f>
        <v>9844.634</v>
      </c>
      <c r="H104" s="93">
        <f t="shared" si="1"/>
        <v>58.29793527175231</v>
      </c>
    </row>
    <row r="105" spans="1:8" ht="27" customHeight="1" outlineLevel="1">
      <c r="A105" s="72" t="str">
        <f>'Приложение 3'!A111</f>
        <v>Закупка товаров, работ и услуг для государственных (муниципальных) нужд</v>
      </c>
      <c r="B105" s="37" t="str">
        <f>'Приложение 3'!C111</f>
        <v>0409</v>
      </c>
      <c r="C105" s="37" t="str">
        <f>'Приложение 3'!D111</f>
        <v>18</v>
      </c>
      <c r="D105" s="37">
        <f>'Приложение 3'!E111</f>
        <v>0</v>
      </c>
      <c r="E105" s="37">
        <f>'Приложение 3'!F111</f>
        <v>200</v>
      </c>
      <c r="F105" s="36">
        <f>'Приложение 3'!G111</f>
        <v>6886.762719999999</v>
      </c>
      <c r="G105" s="36">
        <f>'Приложение 3'!H111</f>
        <v>0</v>
      </c>
      <c r="H105" s="93">
        <f t="shared" si="1"/>
        <v>0</v>
      </c>
    </row>
    <row r="106" spans="1:8" ht="21.75" customHeight="1" outlineLevel="1">
      <c r="A106" s="72" t="str">
        <f>'Приложение 3'!A112</f>
        <v>Межбюджетные трансферты</v>
      </c>
      <c r="B106" s="37" t="str">
        <f>'Приложение 3'!C112</f>
        <v>0409</v>
      </c>
      <c r="C106" s="37" t="str">
        <f>'Приложение 3'!D112</f>
        <v>18</v>
      </c>
      <c r="D106" s="37">
        <f>'Приложение 3'!E112</f>
        <v>0</v>
      </c>
      <c r="E106" s="37">
        <f>'Приложение 3'!F112</f>
        <v>500</v>
      </c>
      <c r="F106" s="36">
        <f>'Приложение 3'!G112</f>
        <v>10000</v>
      </c>
      <c r="G106" s="36">
        <f>'Приложение 3'!H112</f>
        <v>9844.634</v>
      </c>
      <c r="H106" s="93">
        <f t="shared" si="1"/>
        <v>98.44633999999999</v>
      </c>
    </row>
    <row r="107" spans="1:8" ht="12.75" outlineLevel="2">
      <c r="A107" s="72" t="str">
        <f>'Приложение 3'!A113</f>
        <v>Другие вопросы в области национальной экономики</v>
      </c>
      <c r="B107" s="37" t="str">
        <f>'Приложение 3'!C113</f>
        <v>0412</v>
      </c>
      <c r="C107" s="37"/>
      <c r="D107" s="37"/>
      <c r="E107" s="37"/>
      <c r="F107" s="36">
        <f>'Приложение 3'!G113</f>
        <v>3255</v>
      </c>
      <c r="G107" s="36">
        <f>'Приложение 3'!H113</f>
        <v>237.99473</v>
      </c>
      <c r="H107" s="93">
        <f t="shared" si="1"/>
        <v>7.311666052227343</v>
      </c>
    </row>
    <row r="108" spans="1:8" ht="36" outlineLevel="2">
      <c r="A108" s="72" t="str">
        <f>'Приложение 3'!A114</f>
        <v>Муниципальная программа "Развитие и поддержка малого предпринимательства Алексеевского муниципального района на 2016-2018 годы "</v>
      </c>
      <c r="B108" s="37" t="str">
        <f>'Приложение 3'!C114</f>
        <v>0412</v>
      </c>
      <c r="C108" s="37" t="str">
        <f>'Приложение 3'!D114</f>
        <v>04</v>
      </c>
      <c r="D108" s="37">
        <f>'Приложение 3'!E114</f>
        <v>0</v>
      </c>
      <c r="E108" s="37"/>
      <c r="F108" s="36">
        <f>'Приложение 3'!G114</f>
        <v>300</v>
      </c>
      <c r="G108" s="36">
        <f>'Приложение 3'!H114</f>
        <v>0</v>
      </c>
      <c r="H108" s="93">
        <f t="shared" si="1"/>
        <v>0</v>
      </c>
    </row>
    <row r="109" spans="1:8" ht="24" outlineLevel="2">
      <c r="A109" s="72" t="str">
        <f>'Приложение 3'!A115</f>
        <v>Закупка товаров, работ и услуг для государственных (муниципальных) нужд</v>
      </c>
      <c r="B109" s="37" t="str">
        <f>'Приложение 3'!C115</f>
        <v>0412</v>
      </c>
      <c r="C109" s="37" t="str">
        <f>'Приложение 3'!D115</f>
        <v>04</v>
      </c>
      <c r="D109" s="37">
        <f>'Приложение 3'!E115</f>
        <v>0</v>
      </c>
      <c r="E109" s="37">
        <f>'Приложение 3'!F115</f>
        <v>200</v>
      </c>
      <c r="F109" s="36">
        <f>'Приложение 3'!G115</f>
        <v>50</v>
      </c>
      <c r="G109" s="36">
        <f>'Приложение 3'!H115</f>
        <v>0</v>
      </c>
      <c r="H109" s="93">
        <f t="shared" si="1"/>
        <v>0</v>
      </c>
    </row>
    <row r="110" spans="1:8" ht="12.75" outlineLevel="2">
      <c r="A110" s="72" t="str">
        <f>'Приложение 3'!A116</f>
        <v>Социальное обеспечение и иные выплаты населению</v>
      </c>
      <c r="B110" s="37" t="str">
        <f>'Приложение 3'!C116</f>
        <v>0412</v>
      </c>
      <c r="C110" s="37" t="str">
        <f>'Приложение 3'!D116</f>
        <v>04</v>
      </c>
      <c r="D110" s="37">
        <f>'Приложение 3'!E116</f>
        <v>0</v>
      </c>
      <c r="E110" s="37">
        <f>'Приложение 3'!F116</f>
        <v>300</v>
      </c>
      <c r="F110" s="36">
        <f>'Приложение 3'!G116</f>
        <v>50</v>
      </c>
      <c r="G110" s="36">
        <f>'Приложение 3'!H116</f>
        <v>0</v>
      </c>
      <c r="H110" s="93">
        <f t="shared" si="1"/>
        <v>0</v>
      </c>
    </row>
    <row r="111" spans="1:8" ht="12.75" outlineLevel="2">
      <c r="A111" s="72" t="str">
        <f>'Приложение 3'!A117</f>
        <v>Иные бюджетные ассигнования</v>
      </c>
      <c r="B111" s="37" t="str">
        <f>'Приложение 3'!C117</f>
        <v>0412</v>
      </c>
      <c r="C111" s="37" t="str">
        <f>'Приложение 3'!D117</f>
        <v>04</v>
      </c>
      <c r="D111" s="37">
        <f>'Приложение 3'!E117</f>
        <v>0</v>
      </c>
      <c r="E111" s="37">
        <f>'Приложение 3'!F117</f>
        <v>800</v>
      </c>
      <c r="F111" s="36">
        <f>'Приложение 3'!G117</f>
        <v>200</v>
      </c>
      <c r="G111" s="36">
        <f>'Приложение 3'!H117</f>
        <v>0</v>
      </c>
      <c r="H111" s="93">
        <f t="shared" si="1"/>
        <v>0</v>
      </c>
    </row>
    <row r="112" spans="1:8" ht="19.5" customHeight="1" outlineLevel="3">
      <c r="A112" s="72" t="str">
        <f>'Приложение 3'!A118</f>
        <v>Мероприятия по землеустройству и землепользованию</v>
      </c>
      <c r="B112" s="37" t="str">
        <f>'Приложение 3'!C118</f>
        <v>0412</v>
      </c>
      <c r="C112" s="37"/>
      <c r="D112" s="37"/>
      <c r="E112" s="37"/>
      <c r="F112" s="36">
        <f>'Приложение 3'!G118</f>
        <v>325</v>
      </c>
      <c r="G112" s="36">
        <f>'Приложение 3'!H118</f>
        <v>100.5</v>
      </c>
      <c r="H112" s="93">
        <f t="shared" si="1"/>
        <v>30.923076923076927</v>
      </c>
    </row>
    <row r="113" spans="1:8" ht="30" customHeight="1">
      <c r="A113" s="72" t="str">
        <f>'Приложение 3'!A119</f>
        <v>Непрограммные расходы органов местного самоуправления Алексеевского муниципального района</v>
      </c>
      <c r="B113" s="37" t="str">
        <f>'Приложение 3'!C119</f>
        <v>0412</v>
      </c>
      <c r="C113" s="37" t="str">
        <f>'Приложение 3'!D119</f>
        <v>99</v>
      </c>
      <c r="D113" s="37">
        <f>'Приложение 3'!E119</f>
        <v>0</v>
      </c>
      <c r="E113" s="37"/>
      <c r="F113" s="36">
        <f>'Приложение 3'!G119</f>
        <v>325</v>
      </c>
      <c r="G113" s="36">
        <f>'Приложение 3'!H119</f>
        <v>100.5</v>
      </c>
      <c r="H113" s="93">
        <f t="shared" si="1"/>
        <v>30.923076923076927</v>
      </c>
    </row>
    <row r="114" spans="1:8" ht="25.5" customHeight="1" outlineLevel="1">
      <c r="A114" s="72" t="str">
        <f>'Приложение 3'!A120</f>
        <v>Закупка товаров, работ и услуг для государственных (муниципальных) нужд</v>
      </c>
      <c r="B114" s="37" t="str">
        <f>'Приложение 3'!C120</f>
        <v>0412</v>
      </c>
      <c r="C114" s="37" t="str">
        <f>'Приложение 3'!D120</f>
        <v>99</v>
      </c>
      <c r="D114" s="37">
        <f>'Приложение 3'!E120</f>
        <v>0</v>
      </c>
      <c r="E114" s="37">
        <f>'Приложение 3'!F120</f>
        <v>200</v>
      </c>
      <c r="F114" s="36">
        <f>'Приложение 3'!G120</f>
        <v>325</v>
      </c>
      <c r="G114" s="36">
        <f>'Приложение 3'!H120</f>
        <v>100.5</v>
      </c>
      <c r="H114" s="93">
        <f t="shared" si="1"/>
        <v>30.923076923076927</v>
      </c>
    </row>
    <row r="115" spans="1:8" ht="24" outlineLevel="2">
      <c r="A115" s="72" t="str">
        <f>'Приложение 3'!A121</f>
        <v>Мероприятия в области строительства, архитектуры и градостроения</v>
      </c>
      <c r="B115" s="37" t="str">
        <f>'Приложение 3'!C121</f>
        <v>0412</v>
      </c>
      <c r="C115" s="37"/>
      <c r="D115" s="37"/>
      <c r="E115" s="37"/>
      <c r="F115" s="36">
        <f>'Приложение 3'!G121</f>
        <v>2630</v>
      </c>
      <c r="G115" s="36">
        <f>'Приложение 3'!H121</f>
        <v>137.49473</v>
      </c>
      <c r="H115" s="93">
        <f t="shared" si="1"/>
        <v>5.227936501901141</v>
      </c>
    </row>
    <row r="116" spans="1:8" ht="32.25" customHeight="1" outlineLevel="2">
      <c r="A116" s="72" t="str">
        <f>'Приложение 3'!A122</f>
        <v>Непрограммные расходы органов местного самоуправления Алексеевского муниципального района</v>
      </c>
      <c r="B116" s="37" t="str">
        <f>'Приложение 3'!C122</f>
        <v>0412</v>
      </c>
      <c r="C116" s="37" t="str">
        <f>'Приложение 3'!D122</f>
        <v>99</v>
      </c>
      <c r="D116" s="37">
        <f>'Приложение 3'!E122</f>
        <v>0</v>
      </c>
      <c r="E116" s="37"/>
      <c r="F116" s="36">
        <f>'Приложение 3'!G122</f>
        <v>2630</v>
      </c>
      <c r="G116" s="36">
        <f>'Приложение 3'!H122</f>
        <v>137.49473</v>
      </c>
      <c r="H116" s="93">
        <f t="shared" si="1"/>
        <v>5.227936501901141</v>
      </c>
    </row>
    <row r="117" spans="1:8" ht="28.5" customHeight="1" outlineLevel="3">
      <c r="A117" s="72" t="str">
        <f>'Приложение 3'!A123</f>
        <v>Закупка товаров, работ и услуг для государственных (муниципальных) нужд</v>
      </c>
      <c r="B117" s="37" t="str">
        <f>'Приложение 3'!C123</f>
        <v>0412</v>
      </c>
      <c r="C117" s="37" t="str">
        <f>'Приложение 3'!D123</f>
        <v>99</v>
      </c>
      <c r="D117" s="37">
        <f>'Приложение 3'!E123</f>
        <v>0</v>
      </c>
      <c r="E117" s="37">
        <f>'Приложение 3'!F123</f>
        <v>200</v>
      </c>
      <c r="F117" s="36">
        <f>'Приложение 3'!G123</f>
        <v>2630</v>
      </c>
      <c r="G117" s="36">
        <f>'Приложение 3'!H123</f>
        <v>137.49473</v>
      </c>
      <c r="H117" s="93">
        <f t="shared" si="1"/>
        <v>5.227936501901141</v>
      </c>
    </row>
    <row r="118" spans="1:8" ht="12.75" outlineLevel="2">
      <c r="A118" s="72" t="str">
        <f>'Приложение 3'!A124</f>
        <v>Жилищно-коммунальное хозяйство</v>
      </c>
      <c r="B118" s="37" t="str">
        <f>'Приложение 3'!C124</f>
        <v>0500</v>
      </c>
      <c r="C118" s="37"/>
      <c r="D118" s="37"/>
      <c r="E118" s="37"/>
      <c r="F118" s="36">
        <f>'Приложение 3'!G124</f>
        <v>18937.1</v>
      </c>
      <c r="G118" s="36">
        <f>'Приложение 3'!H124</f>
        <v>5196.02107</v>
      </c>
      <c r="H118" s="93">
        <f t="shared" si="1"/>
        <v>27.438314578261718</v>
      </c>
    </row>
    <row r="119" spans="1:8" ht="12.75" outlineLevel="2">
      <c r="A119" s="72" t="str">
        <f>'Приложение 3'!A125</f>
        <v>Жилищное хозяйство</v>
      </c>
      <c r="B119" s="37" t="str">
        <f>'Приложение 3'!C125</f>
        <v>0501</v>
      </c>
      <c r="C119" s="37"/>
      <c r="D119" s="37"/>
      <c r="E119" s="37"/>
      <c r="F119" s="36">
        <f>'Приложение 3'!G125</f>
        <v>0</v>
      </c>
      <c r="G119" s="36">
        <f>'Приложение 3'!H125</f>
        <v>0</v>
      </c>
      <c r="H119" s="93" t="e">
        <f t="shared" si="1"/>
        <v>#DIV/0!</v>
      </c>
    </row>
    <row r="120" spans="1:8" ht="36" outlineLevel="2">
      <c r="A120" s="72" t="str">
        <f>'Приложение 3'!A126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20" s="37" t="str">
        <f>'Приложение 3'!C126</f>
        <v>0501</v>
      </c>
      <c r="C120" s="37" t="str">
        <f>'Приложение 3'!D126</f>
        <v>02</v>
      </c>
      <c r="D120" s="37">
        <f>'Приложение 3'!E126</f>
        <v>0</v>
      </c>
      <c r="E120" s="37"/>
      <c r="F120" s="36">
        <f>'Приложение 3'!G126</f>
        <v>0</v>
      </c>
      <c r="G120" s="36">
        <f>'Приложение 3'!H126</f>
        <v>0</v>
      </c>
      <c r="H120" s="93" t="e">
        <f t="shared" si="1"/>
        <v>#DIV/0!</v>
      </c>
    </row>
    <row r="121" spans="1:8" ht="36" outlineLevel="2">
      <c r="A121" s="72" t="str">
        <f>'Приложение 3'!A127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1" s="37" t="str">
        <f>'Приложение 3'!C127</f>
        <v>0501</v>
      </c>
      <c r="C121" s="37" t="str">
        <f>'Приложение 3'!D127</f>
        <v>02</v>
      </c>
      <c r="D121" s="37">
        <f>'Приложение 3'!E127</f>
        <v>1</v>
      </c>
      <c r="E121" s="37"/>
      <c r="F121" s="36">
        <f>'Приложение 3'!G127</f>
        <v>0</v>
      </c>
      <c r="G121" s="36">
        <f>'Приложение 3'!H127</f>
        <v>0</v>
      </c>
      <c r="H121" s="93" t="e">
        <f t="shared" si="1"/>
        <v>#DIV/0!</v>
      </c>
    </row>
    <row r="122" spans="1:8" ht="12.75" outlineLevel="2">
      <c r="A122" s="72" t="str">
        <f>'Приложение 3'!A128</f>
        <v>Межбюджетные трансферты</v>
      </c>
      <c r="B122" s="37" t="str">
        <f>'Приложение 3'!C128</f>
        <v>0501</v>
      </c>
      <c r="C122" s="37" t="str">
        <f>'Приложение 3'!D128</f>
        <v>02</v>
      </c>
      <c r="D122" s="37">
        <f>'Приложение 3'!E128</f>
        <v>1</v>
      </c>
      <c r="E122" s="37">
        <f>'Приложение 3'!F128</f>
        <v>500</v>
      </c>
      <c r="F122" s="36">
        <f>'Приложение 3'!G128</f>
        <v>0</v>
      </c>
      <c r="G122" s="36">
        <f>'Приложение 3'!H128</f>
        <v>0</v>
      </c>
      <c r="H122" s="93" t="e">
        <f t="shared" si="1"/>
        <v>#DIV/0!</v>
      </c>
    </row>
    <row r="123" spans="1:8" ht="12.75" outlineLevel="3">
      <c r="A123" s="72" t="str">
        <f>'Приложение 3'!A129</f>
        <v>Коммунальное хозяйство</v>
      </c>
      <c r="B123" s="37" t="str">
        <f>'Приложение 3'!C129</f>
        <v>0502</v>
      </c>
      <c r="C123" s="37"/>
      <c r="D123" s="37"/>
      <c r="E123" s="37"/>
      <c r="F123" s="36">
        <f>'Приложение 3'!G129</f>
        <v>18937.1</v>
      </c>
      <c r="G123" s="36">
        <f>'Приложение 3'!H129</f>
        <v>5196.02107</v>
      </c>
      <c r="H123" s="93">
        <f t="shared" si="1"/>
        <v>27.438314578261718</v>
      </c>
    </row>
    <row r="124" spans="1:8" ht="42" customHeight="1" outlineLevel="3">
      <c r="A124" s="72" t="str">
        <f>'Приложение 3'!A130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24" s="37" t="str">
        <f>'Приложение 3'!C130</f>
        <v>0502</v>
      </c>
      <c r="C124" s="37" t="str">
        <f>'Приложение 3'!D130</f>
        <v>02</v>
      </c>
      <c r="D124" s="37">
        <f>'Приложение 3'!E130</f>
        <v>0</v>
      </c>
      <c r="E124" s="37"/>
      <c r="F124" s="36">
        <f>'Приложение 3'!G130</f>
        <v>18937.1</v>
      </c>
      <c r="G124" s="36">
        <f>'Приложение 3'!H130</f>
        <v>5196.02107</v>
      </c>
      <c r="H124" s="93">
        <f t="shared" si="1"/>
        <v>27.438314578261718</v>
      </c>
    </row>
    <row r="125" spans="1:8" ht="36" outlineLevel="3">
      <c r="A125" s="72" t="str">
        <f>'Приложение 3'!A131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5" s="37" t="str">
        <f>'Приложение 3'!C131</f>
        <v>0502</v>
      </c>
      <c r="C125" s="37" t="str">
        <f>'Приложение 3'!D131</f>
        <v>02</v>
      </c>
      <c r="D125" s="37">
        <f>'Приложение 3'!E131</f>
        <v>1</v>
      </c>
      <c r="E125" s="37"/>
      <c r="F125" s="36">
        <f>'Приложение 3'!G131</f>
        <v>6737.1</v>
      </c>
      <c r="G125" s="36">
        <f>'Приложение 3'!H131</f>
        <v>5196.02107</v>
      </c>
      <c r="H125" s="93">
        <f t="shared" si="1"/>
        <v>77.12548529782843</v>
      </c>
    </row>
    <row r="126" spans="1:8" ht="24" outlineLevel="3">
      <c r="A126" s="72" t="str">
        <f>'Приложение 3'!A132</f>
        <v>Закупка товаров, работ и услуг для государственных (муниципальных) нужд</v>
      </c>
      <c r="B126" s="37" t="str">
        <f>'Приложение 3'!C132</f>
        <v>0502</v>
      </c>
      <c r="C126" s="37" t="str">
        <f>'Приложение 3'!D132</f>
        <v>02</v>
      </c>
      <c r="D126" s="37">
        <f>'Приложение 3'!E132</f>
        <v>1</v>
      </c>
      <c r="E126" s="37">
        <f>'Приложение 3'!F132</f>
        <v>200</v>
      </c>
      <c r="F126" s="36">
        <f>'Приложение 3'!G132</f>
        <v>451.1</v>
      </c>
      <c r="G126" s="36">
        <f>'Приложение 3'!H132</f>
        <v>323.27107</v>
      </c>
      <c r="H126" s="93">
        <f t="shared" si="1"/>
        <v>71.66283972511638</v>
      </c>
    </row>
    <row r="127" spans="1:8" ht="12.75" outlineLevel="3">
      <c r="A127" s="72" t="str">
        <f>'Приложение 3'!A133</f>
        <v>Межбюджетные трансферты</v>
      </c>
      <c r="B127" s="37" t="str">
        <f>'Приложение 3'!C133</f>
        <v>0502</v>
      </c>
      <c r="C127" s="37" t="str">
        <f>'Приложение 3'!D133</f>
        <v>02</v>
      </c>
      <c r="D127" s="37">
        <f>'Приложение 3'!E133</f>
        <v>1</v>
      </c>
      <c r="E127" s="37">
        <f>'Приложение 3'!F133</f>
        <v>500</v>
      </c>
      <c r="F127" s="36">
        <f>'Приложение 3'!G133</f>
        <v>6286</v>
      </c>
      <c r="G127" s="36">
        <f>'Приложение 3'!H133</f>
        <v>4872.75</v>
      </c>
      <c r="H127" s="93">
        <f t="shared" si="1"/>
        <v>77.51749920458161</v>
      </c>
    </row>
    <row r="128" spans="1:8" ht="24" outlineLevel="3">
      <c r="A128" s="72" t="str">
        <f>'Приложение 3'!A134</f>
        <v>Подпрограмма «Газификация Алексеевского муниципального района»</v>
      </c>
      <c r="B128" s="37" t="str">
        <f>'Приложение 3'!C134</f>
        <v>0502</v>
      </c>
      <c r="C128" s="37" t="str">
        <f>'Приложение 3'!D134</f>
        <v>02</v>
      </c>
      <c r="D128" s="37">
        <f>'Приложение 3'!E134</f>
        <v>2</v>
      </c>
      <c r="E128" s="37"/>
      <c r="F128" s="36">
        <f>'Приложение 3'!G134</f>
        <v>0</v>
      </c>
      <c r="G128" s="36">
        <f>'Приложение 3'!H134</f>
        <v>0</v>
      </c>
      <c r="H128" s="93" t="e">
        <f t="shared" si="1"/>
        <v>#DIV/0!</v>
      </c>
    </row>
    <row r="129" spans="1:8" ht="31.5" customHeight="1" outlineLevel="3">
      <c r="A129" s="72" t="str">
        <f>'Приложение 3'!A135</f>
        <v>Мероприятия по развитию газификации в сельской местности за счет субсидий из областного бюджета</v>
      </c>
      <c r="B129" s="37" t="str">
        <f>'Приложение 3'!C135</f>
        <v>0502</v>
      </c>
      <c r="C129" s="37" t="str">
        <f>'Приложение 3'!D135</f>
        <v>02</v>
      </c>
      <c r="D129" s="37">
        <f>'Приложение 3'!E135</f>
        <v>2</v>
      </c>
      <c r="E129" s="37">
        <f>'Приложение 3'!F135</f>
        <v>400</v>
      </c>
      <c r="F129" s="36">
        <f>'Приложение 3'!G135</f>
        <v>0</v>
      </c>
      <c r="G129" s="36">
        <f>'Приложение 3'!H135</f>
        <v>0</v>
      </c>
      <c r="H129" s="93" t="e">
        <f t="shared" si="1"/>
        <v>#DIV/0!</v>
      </c>
    </row>
    <row r="130" spans="1:8" ht="31.5" customHeight="1" outlineLevel="3">
      <c r="A130" s="72" t="str">
        <f>'Приложение 3'!A137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30" s="37" t="str">
        <f>'Приложение 3'!C137</f>
        <v>0502</v>
      </c>
      <c r="C130" s="37" t="str">
        <f>'Приложение 3'!D137</f>
        <v>02</v>
      </c>
      <c r="D130" s="37">
        <f>'Приложение 3'!E137</f>
        <v>3</v>
      </c>
      <c r="E130" s="37"/>
      <c r="F130" s="36">
        <f>'Приложение 3'!G137</f>
        <v>12200</v>
      </c>
      <c r="G130" s="36">
        <f>'Приложение 3'!H137</f>
        <v>0</v>
      </c>
      <c r="H130" s="93">
        <f t="shared" si="1"/>
        <v>0</v>
      </c>
    </row>
    <row r="131" spans="1:8" ht="31.5" customHeight="1" outlineLevel="3">
      <c r="A131" s="72" t="str">
        <f>'Приложение 3'!A138</f>
        <v>Закупка товаров, работ и услуг в целях ремонта объектов муниципальной собственности</v>
      </c>
      <c r="B131" s="37" t="str">
        <f>'Приложение 3'!C138</f>
        <v>0502</v>
      </c>
      <c r="C131" s="37" t="str">
        <f>'Приложение 3'!D138</f>
        <v>02</v>
      </c>
      <c r="D131" s="37">
        <f>'Приложение 3'!E138</f>
        <v>3</v>
      </c>
      <c r="E131" s="37">
        <f>'Приложение 3'!F138</f>
        <v>200</v>
      </c>
      <c r="F131" s="36">
        <f>'Приложение 3'!G138</f>
        <v>0</v>
      </c>
      <c r="G131" s="36">
        <f>'Приложение 3'!H138</f>
        <v>0</v>
      </c>
      <c r="H131" s="93" t="e">
        <f t="shared" si="1"/>
        <v>#DIV/0!</v>
      </c>
    </row>
    <row r="132" spans="1:8" ht="31.5" customHeight="1" outlineLevel="3">
      <c r="A132" s="72" t="str">
        <f>'Приложение 3'!A139</f>
        <v>Капитальные вложения в объекты государственной (муниципальной) собственности</v>
      </c>
      <c r="B132" s="37" t="str">
        <f>'Приложение 3'!C139</f>
        <v>0502</v>
      </c>
      <c r="C132" s="37" t="str">
        <f>'Приложение 3'!D139</f>
        <v>02</v>
      </c>
      <c r="D132" s="37">
        <f>'Приложение 3'!E139</f>
        <v>3</v>
      </c>
      <c r="E132" s="37">
        <f>'Приложение 3'!F139</f>
        <v>400</v>
      </c>
      <c r="F132" s="36">
        <f>'Приложение 3'!G139</f>
        <v>12200</v>
      </c>
      <c r="G132" s="36">
        <f>'Приложение 3'!H139</f>
        <v>0</v>
      </c>
      <c r="H132" s="93">
        <f t="shared" si="1"/>
        <v>0</v>
      </c>
    </row>
    <row r="133" spans="1:8" ht="36" outlineLevel="3">
      <c r="A133" s="72" t="str">
        <f>'Приложение 3'!A140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133" s="37" t="str">
        <f>'Приложение 3'!C140</f>
        <v>0502</v>
      </c>
      <c r="C133" s="37" t="str">
        <f>'Приложение 3'!D140</f>
        <v>24</v>
      </c>
      <c r="D133" s="37">
        <f>'Приложение 3'!E140</f>
        <v>0</v>
      </c>
      <c r="E133" s="37"/>
      <c r="F133" s="36">
        <f>'Приложение 3'!G140</f>
        <v>0</v>
      </c>
      <c r="G133" s="36">
        <f>'Приложение 3'!H140</f>
        <v>0</v>
      </c>
      <c r="H133" s="93" t="e">
        <f t="shared" si="1"/>
        <v>#DIV/0!</v>
      </c>
    </row>
    <row r="134" spans="1:8" ht="24" outlineLevel="3">
      <c r="A134" s="72" t="str">
        <f>'Приложение 3'!A141</f>
        <v>Капитальные вложения в объекты государственной (муниципальной) собственности</v>
      </c>
      <c r="B134" s="37" t="str">
        <f>'Приложение 3'!C141</f>
        <v>0502</v>
      </c>
      <c r="C134" s="37" t="str">
        <f>'Приложение 3'!D141</f>
        <v>24</v>
      </c>
      <c r="D134" s="37">
        <f>'Приложение 3'!E141</f>
        <v>0</v>
      </c>
      <c r="E134" s="37">
        <f>'Приложение 3'!F141</f>
        <v>400</v>
      </c>
      <c r="F134" s="36">
        <f>'Приложение 3'!G141</f>
        <v>0</v>
      </c>
      <c r="G134" s="36">
        <f>'Приложение 3'!H141</f>
        <v>0</v>
      </c>
      <c r="H134" s="93" t="e">
        <f t="shared" si="1"/>
        <v>#DIV/0!</v>
      </c>
    </row>
    <row r="135" spans="1:8" ht="60" outlineLevel="1">
      <c r="A135" s="72" t="str">
        <f>'Приложение 3'!A142</f>
        <v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v>
      </c>
      <c r="B135" s="37" t="str">
        <f>'Приложение 3'!C142</f>
        <v>0502</v>
      </c>
      <c r="C135" s="37"/>
      <c r="D135" s="37"/>
      <c r="E135" s="37"/>
      <c r="F135" s="36">
        <f>'Приложение 3'!G142</f>
        <v>0</v>
      </c>
      <c r="G135" s="36">
        <f>'Приложение 3'!H142</f>
        <v>0</v>
      </c>
      <c r="H135" s="93" t="e">
        <f t="shared" si="1"/>
        <v>#DIV/0!</v>
      </c>
    </row>
    <row r="136" spans="1:8" ht="29.25" customHeight="1" outlineLevel="1">
      <c r="A136" s="72" t="str">
        <f>'Приложение 3'!A143</f>
        <v>Непрограммные расходы органов местного самоуправления Алексеевского муниципального района</v>
      </c>
      <c r="B136" s="37" t="str">
        <f>'Приложение 3'!C143</f>
        <v>0502</v>
      </c>
      <c r="C136" s="37" t="str">
        <f>'Приложение 3'!D143</f>
        <v>99</v>
      </c>
      <c r="D136" s="37">
        <f>'Приложение 3'!E143</f>
        <v>0</v>
      </c>
      <c r="E136" s="37"/>
      <c r="F136" s="36">
        <f>'Приложение 3'!G143</f>
        <v>0</v>
      </c>
      <c r="G136" s="36">
        <f>'Приложение 3'!H143</f>
        <v>0</v>
      </c>
      <c r="H136" s="93" t="e">
        <f t="shared" si="1"/>
        <v>#DIV/0!</v>
      </c>
    </row>
    <row r="137" spans="1:8" ht="18.75" customHeight="1" outlineLevel="1">
      <c r="A137" s="72" t="str">
        <f>'Приложение 3'!A144</f>
        <v>Иные бюджетные ассигнования</v>
      </c>
      <c r="B137" s="37" t="str">
        <f>'Приложение 3'!C144</f>
        <v>0502</v>
      </c>
      <c r="C137" s="37" t="str">
        <f>'Приложение 3'!D144</f>
        <v>99</v>
      </c>
      <c r="D137" s="37">
        <f>'Приложение 3'!E144</f>
        <v>0</v>
      </c>
      <c r="E137" s="37">
        <f>'Приложение 3'!F144</f>
        <v>800</v>
      </c>
      <c r="F137" s="36">
        <f>'Приложение 3'!G144</f>
        <v>0</v>
      </c>
      <c r="G137" s="36">
        <f>'Приложение 3'!H144</f>
        <v>0</v>
      </c>
      <c r="H137" s="93" t="e">
        <f t="shared" si="1"/>
        <v>#DIV/0!</v>
      </c>
    </row>
    <row r="138" spans="1:8" ht="12.75" outlineLevel="2">
      <c r="A138" s="72" t="str">
        <f>'Приложение 3'!A145</f>
        <v>Охрана окружающей среды</v>
      </c>
      <c r="B138" s="37" t="str">
        <f>'Приложение 3'!C145</f>
        <v>0600</v>
      </c>
      <c r="C138" s="37">
        <f>'Приложение 3'!D145</f>
        <v>0</v>
      </c>
      <c r="D138" s="37">
        <f>'Приложение 3'!E145</f>
        <v>0</v>
      </c>
      <c r="E138" s="37"/>
      <c r="F138" s="36">
        <f>'Приложение 3'!G145</f>
        <v>50</v>
      </c>
      <c r="G138" s="36">
        <f>'Приложение 3'!H145</f>
        <v>0</v>
      </c>
      <c r="H138" s="93">
        <f aca="true" t="shared" si="2" ref="H138:H201">SUM(G138/F138)*100</f>
        <v>0</v>
      </c>
    </row>
    <row r="139" spans="1:8" ht="24" outlineLevel="5">
      <c r="A139" s="72" t="str">
        <f>'Приложение 3'!A146</f>
        <v>Муниципальная программа  «Охрана окружающей среды Алексеевского муниципального района на 2016-2018 годы»</v>
      </c>
      <c r="B139" s="37" t="str">
        <f>'Приложение 3'!C146</f>
        <v>0605</v>
      </c>
      <c r="C139" s="37" t="str">
        <f>'Приложение 3'!D146</f>
        <v>05</v>
      </c>
      <c r="D139" s="37">
        <f>'Приложение 3'!E146</f>
        <v>0</v>
      </c>
      <c r="E139" s="37"/>
      <c r="F139" s="36">
        <f>'Приложение 3'!G146</f>
        <v>50</v>
      </c>
      <c r="G139" s="36">
        <f>'Приложение 3'!H146</f>
        <v>0</v>
      </c>
      <c r="H139" s="93">
        <f t="shared" si="2"/>
        <v>0</v>
      </c>
    </row>
    <row r="140" spans="1:8" ht="24" outlineLevel="5">
      <c r="A140" s="72" t="str">
        <f>'Приложение 3'!A147</f>
        <v>Закупка товаров, работ и услуг для государственных (муниципальных) нужд</v>
      </c>
      <c r="B140" s="37" t="str">
        <f>'Приложение 3'!C147</f>
        <v>0605</v>
      </c>
      <c r="C140" s="37" t="str">
        <f>'Приложение 3'!D147</f>
        <v>05</v>
      </c>
      <c r="D140" s="37">
        <f>'Приложение 3'!E147</f>
        <v>0</v>
      </c>
      <c r="E140" s="37">
        <f>'Приложение 3'!F147</f>
        <v>200</v>
      </c>
      <c r="F140" s="36">
        <f>'Приложение 3'!G147</f>
        <v>50</v>
      </c>
      <c r="G140" s="36">
        <f>'Приложение 3'!H147</f>
        <v>0</v>
      </c>
      <c r="H140" s="93">
        <f t="shared" si="2"/>
        <v>0</v>
      </c>
    </row>
    <row r="141" spans="1:8" ht="12.75" outlineLevel="5">
      <c r="A141" s="72" t="str">
        <f>'Приложение 3'!A148</f>
        <v>Образование</v>
      </c>
      <c r="B141" s="37" t="str">
        <f>'Приложение 3'!C148</f>
        <v>0700</v>
      </c>
      <c r="C141" s="37"/>
      <c r="D141" s="37"/>
      <c r="E141" s="37"/>
      <c r="F141" s="36">
        <f>'Приложение 3'!G148</f>
        <v>166595.67148000002</v>
      </c>
      <c r="G141" s="36">
        <f>'Приложение 3'!H148</f>
        <v>142028.88823000004</v>
      </c>
      <c r="H141" s="93">
        <f t="shared" si="2"/>
        <v>85.25364853014848</v>
      </c>
    </row>
    <row r="142" spans="1:8" ht="12.75" outlineLevel="2">
      <c r="A142" s="72" t="str">
        <f>'Приложение 3'!A149</f>
        <v>Дошкольное образование</v>
      </c>
      <c r="B142" s="37" t="str">
        <f>'Приложение 3'!C149</f>
        <v>0701</v>
      </c>
      <c r="C142" s="37"/>
      <c r="D142" s="37"/>
      <c r="E142" s="37"/>
      <c r="F142" s="36">
        <f>'Приложение 3'!G149</f>
        <v>27141.841879999993</v>
      </c>
      <c r="G142" s="36">
        <f>'Приложение 3'!H149</f>
        <v>23553.775659999996</v>
      </c>
      <c r="H142" s="93">
        <f t="shared" si="2"/>
        <v>86.78031418846362</v>
      </c>
    </row>
    <row r="143" spans="1:8" ht="43.5" customHeight="1" outlineLevel="2">
      <c r="A143" s="72" t="str">
        <f>'Приложение 3'!A150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43" s="37" t="str">
        <f>'Приложение 3'!C150</f>
        <v>0701</v>
      </c>
      <c r="C143" s="37" t="str">
        <f>'Приложение 3'!D150</f>
        <v>02</v>
      </c>
      <c r="D143" s="37">
        <f>'Приложение 3'!E150</f>
        <v>0</v>
      </c>
      <c r="E143" s="37"/>
      <c r="F143" s="36">
        <f>'Приложение 3'!G150</f>
        <v>850</v>
      </c>
      <c r="G143" s="36">
        <f>'Приложение 3'!H150</f>
        <v>696.98516</v>
      </c>
      <c r="H143" s="93">
        <f t="shared" si="2"/>
        <v>81.99825411764705</v>
      </c>
    </row>
    <row r="144" spans="1:8" ht="38.25" customHeight="1" outlineLevel="2">
      <c r="A144" s="72" t="str">
        <f>'Приложение 3'!A151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4" s="37" t="str">
        <f>'Приложение 3'!C151</f>
        <v>0701</v>
      </c>
      <c r="C144" s="37" t="str">
        <f>'Приложение 3'!D151</f>
        <v>02</v>
      </c>
      <c r="D144" s="37">
        <f>'Приложение 3'!E151</f>
        <v>3</v>
      </c>
      <c r="E144" s="37"/>
      <c r="F144" s="36">
        <f>'Приложение 3'!G151</f>
        <v>375.3</v>
      </c>
      <c r="G144" s="36">
        <f>'Приложение 3'!H151</f>
        <v>375.17078</v>
      </c>
      <c r="H144" s="93">
        <f t="shared" si="2"/>
        <v>99.96556887823074</v>
      </c>
    </row>
    <row r="145" spans="1:8" ht="24" outlineLevel="2">
      <c r="A145" s="72" t="str">
        <f>'Приложение 3'!A153</f>
        <v>Предоставление субсидий бюджетным, автономным учреждениям и иным некоммерческим организациям</v>
      </c>
      <c r="B145" s="37" t="str">
        <f>'Приложение 3'!C153</f>
        <v>0701</v>
      </c>
      <c r="C145" s="37" t="str">
        <f>'Приложение 3'!D153</f>
        <v>02</v>
      </c>
      <c r="D145" s="37">
        <f>'Приложение 3'!E153</f>
        <v>3</v>
      </c>
      <c r="E145" s="37">
        <f>'Приложение 3'!F153</f>
        <v>600</v>
      </c>
      <c r="F145" s="36">
        <f>'Приложение 3'!G153</f>
        <v>375.3</v>
      </c>
      <c r="G145" s="36">
        <f>'Приложение 3'!H153</f>
        <v>375.17078</v>
      </c>
      <c r="H145" s="93">
        <f t="shared" si="2"/>
        <v>99.96556887823074</v>
      </c>
    </row>
    <row r="146" spans="1:8" ht="38.25" customHeight="1" outlineLevel="2">
      <c r="A146" s="72" t="str">
        <f>'Приложение 3'!A154</f>
        <v>Подпрограмма "Энергосбережение и повышение энергетической эффективности Алексеевского муниципального района"</v>
      </c>
      <c r="B146" s="37" t="str">
        <f>'Приложение 3'!C154</f>
        <v>0701</v>
      </c>
      <c r="C146" s="37" t="str">
        <f>'Приложение 3'!D154</f>
        <v>02</v>
      </c>
      <c r="D146" s="37">
        <f>'Приложение 3'!E154</f>
        <v>4</v>
      </c>
      <c r="E146" s="37"/>
      <c r="F146" s="36">
        <f>'Приложение 3'!G154</f>
        <v>474.7</v>
      </c>
      <c r="G146" s="36">
        <f>'Приложение 3'!H154</f>
        <v>321.81438</v>
      </c>
      <c r="H146" s="93">
        <f t="shared" si="2"/>
        <v>67.79321255529808</v>
      </c>
    </row>
    <row r="147" spans="1:8" ht="24" outlineLevel="2">
      <c r="A147" s="72" t="str">
        <f>'Приложение 3'!A155</f>
        <v>Предоставление субсидий бюджетным, автономным учреждениям и иным некоммерческим организациям</v>
      </c>
      <c r="B147" s="37" t="str">
        <f>'Приложение 3'!C155</f>
        <v>0701</v>
      </c>
      <c r="C147" s="37" t="str">
        <f>'Приложение 3'!D155</f>
        <v>02</v>
      </c>
      <c r="D147" s="37">
        <f>'Приложение 3'!E155</f>
        <v>4</v>
      </c>
      <c r="E147" s="37">
        <f>'Приложение 3'!F155</f>
        <v>600</v>
      </c>
      <c r="F147" s="36">
        <f>'Приложение 3'!G155</f>
        <v>474.7</v>
      </c>
      <c r="G147" s="36">
        <f>'Приложение 3'!H155</f>
        <v>321.81438</v>
      </c>
      <c r="H147" s="93">
        <f t="shared" si="2"/>
        <v>67.79321255529808</v>
      </c>
    </row>
    <row r="148" spans="1:8" ht="36" outlineLevel="2">
      <c r="A148" s="72" t="str">
        <f>'Приложение 3'!A156</f>
        <v>Муниципальная программа "Благоустройство территорий образовательных учреждений Алексеевского муниципального района на 2017 год"</v>
      </c>
      <c r="B148" s="37" t="str">
        <f>'Приложение 3'!C156</f>
        <v>0701</v>
      </c>
      <c r="C148" s="37" t="str">
        <f>'Приложение 3'!D156</f>
        <v>09</v>
      </c>
      <c r="D148" s="37">
        <f>'Приложение 3'!E156</f>
        <v>0</v>
      </c>
      <c r="E148" s="37"/>
      <c r="F148" s="36">
        <f>'Приложение 3'!G156</f>
        <v>175</v>
      </c>
      <c r="G148" s="36">
        <f>'Приложение 3'!H156</f>
        <v>175</v>
      </c>
      <c r="H148" s="93">
        <f t="shared" si="2"/>
        <v>100</v>
      </c>
    </row>
    <row r="149" spans="1:8" ht="24" outlineLevel="2">
      <c r="A149" s="72" t="str">
        <f>'Приложение 3'!A157</f>
        <v>Предоставление субсидий бюджетным, автономным учреждениям и иным некоммерческим организациям</v>
      </c>
      <c r="B149" s="37" t="str">
        <f>'Приложение 3'!C157</f>
        <v>0701</v>
      </c>
      <c r="C149" s="37" t="str">
        <f>'Приложение 3'!D157</f>
        <v>09</v>
      </c>
      <c r="D149" s="37">
        <f>'Приложение 3'!E157</f>
        <v>0</v>
      </c>
      <c r="E149" s="37">
        <f>'Приложение 3'!F157</f>
        <v>600</v>
      </c>
      <c r="F149" s="36">
        <f>'Приложение 3'!G157</f>
        <v>175</v>
      </c>
      <c r="G149" s="36">
        <f>'Приложение 3'!H157</f>
        <v>175</v>
      </c>
      <c r="H149" s="93">
        <f t="shared" si="2"/>
        <v>100</v>
      </c>
    </row>
    <row r="150" spans="1:8" ht="96" outlineLevel="2">
      <c r="A150" s="72" t="str">
        <f>'Приложение 3'!A158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50" s="37" t="str">
        <f>'Приложение 3'!C158</f>
        <v>0701</v>
      </c>
      <c r="C150" s="37" t="str">
        <f>'Приложение 3'!D158</f>
        <v>22</v>
      </c>
      <c r="D150" s="37">
        <f>'Приложение 3'!E158</f>
        <v>0</v>
      </c>
      <c r="E150" s="37"/>
      <c r="F150" s="36">
        <f>'Приложение 3'!G158</f>
        <v>70.622</v>
      </c>
      <c r="G150" s="36">
        <f>'Приложение 3'!H158</f>
        <v>0</v>
      </c>
      <c r="H150" s="93">
        <f t="shared" si="2"/>
        <v>0</v>
      </c>
    </row>
    <row r="151" spans="1:8" ht="24" outlineLevel="2">
      <c r="A151" s="72" t="str">
        <f>'Приложение 3'!A159</f>
        <v>Предоставление субсидий бюджетным, автономным учреждениям и иным некоммерческим организациям</v>
      </c>
      <c r="B151" s="37" t="str">
        <f>'Приложение 3'!C159</f>
        <v>0701</v>
      </c>
      <c r="C151" s="37" t="str">
        <f>'Приложение 3'!D159</f>
        <v>22</v>
      </c>
      <c r="D151" s="37">
        <f>'Приложение 3'!E159</f>
        <v>0</v>
      </c>
      <c r="E151" s="37">
        <f>'Приложение 3'!F159</f>
        <v>600</v>
      </c>
      <c r="F151" s="36">
        <f>'Приложение 3'!G159</f>
        <v>70.622</v>
      </c>
      <c r="G151" s="36">
        <f>'Приложение 3'!H159</f>
        <v>0</v>
      </c>
      <c r="H151" s="93">
        <f t="shared" si="2"/>
        <v>0</v>
      </c>
    </row>
    <row r="152" spans="1:8" ht="36" outlineLevel="2">
      <c r="A152" s="72" t="str">
        <f>'Приложение 3'!A160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52" s="37" t="str">
        <f>'Приложение 3'!C160</f>
        <v>0701</v>
      </c>
      <c r="C152" s="37" t="str">
        <f>'Приложение 3'!D160</f>
        <v>52</v>
      </c>
      <c r="D152" s="37">
        <f>'Приложение 3'!E160</f>
        <v>0</v>
      </c>
      <c r="E152" s="37"/>
      <c r="F152" s="36">
        <f>'Приложение 3'!G160</f>
        <v>26046.219879999993</v>
      </c>
      <c r="G152" s="36">
        <f>'Приложение 3'!H160</f>
        <v>22681.790499999996</v>
      </c>
      <c r="H152" s="93">
        <f t="shared" si="2"/>
        <v>87.08284965918057</v>
      </c>
    </row>
    <row r="153" spans="1:8" ht="24" outlineLevel="2">
      <c r="A153" s="72" t="str">
        <f>'Приложение 3'!A161</f>
        <v>Предоставление субсидий бюджетным, автономным учреждениям и иным некоммерческим организациям</v>
      </c>
      <c r="B153" s="37" t="str">
        <f>'Приложение 3'!C161</f>
        <v>0701</v>
      </c>
      <c r="C153" s="37" t="str">
        <f>'Приложение 3'!D161</f>
        <v>52</v>
      </c>
      <c r="D153" s="37">
        <f>'Приложение 3'!E161</f>
        <v>0</v>
      </c>
      <c r="E153" s="37">
        <f>'Приложение 3'!F161</f>
        <v>600</v>
      </c>
      <c r="F153" s="36">
        <f>'Приложение 3'!G161</f>
        <v>14161.4</v>
      </c>
      <c r="G153" s="36">
        <f>'Приложение 3'!H161</f>
        <v>11420.07448</v>
      </c>
      <c r="H153" s="93">
        <f t="shared" si="2"/>
        <v>80.64227039699465</v>
      </c>
    </row>
    <row r="154" spans="1:8" ht="36" outlineLevel="2">
      <c r="A154" s="72" t="str">
        <f>'Приложение 3'!A162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54" s="37" t="str">
        <f>'Приложение 3'!C162</f>
        <v>0701</v>
      </c>
      <c r="C154" s="37" t="str">
        <f>'Приложение 3'!D162</f>
        <v>52</v>
      </c>
      <c r="D154" s="37">
        <f>'Приложение 3'!E162</f>
        <v>0</v>
      </c>
      <c r="E154" s="37">
        <f>'Приложение 3'!F162</f>
        <v>600</v>
      </c>
      <c r="F154" s="36">
        <f>'Приложение 3'!G162</f>
        <v>11631.875929999998</v>
      </c>
      <c r="G154" s="36">
        <f>'Приложение 3'!H162</f>
        <v>11008.772069999999</v>
      </c>
      <c r="H154" s="93">
        <f t="shared" si="2"/>
        <v>94.6431352625337</v>
      </c>
    </row>
    <row r="155" spans="1:8" ht="55.5" customHeight="1" outlineLevel="2">
      <c r="A155" s="72" t="str">
        <f>'Приложение 3'!A163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01.01.2017 г.  за счет средств областного бюджета </v>
      </c>
      <c r="B155" s="37" t="str">
        <f>'Приложение 3'!C163</f>
        <v>0701</v>
      </c>
      <c r="C155" s="37" t="str">
        <f>'Приложение 3'!D163</f>
        <v>52</v>
      </c>
      <c r="D155" s="37">
        <f>'Приложение 3'!E163</f>
        <v>0</v>
      </c>
      <c r="E155" s="37">
        <f>'Приложение 3'!F163</f>
        <v>600</v>
      </c>
      <c r="F155" s="36">
        <f>'Приложение 3'!G163</f>
        <v>244.82407</v>
      </c>
      <c r="G155" s="36">
        <f>'Приложение 3'!H163</f>
        <v>244.82407</v>
      </c>
      <c r="H155" s="93">
        <f t="shared" si="2"/>
        <v>100</v>
      </c>
    </row>
    <row r="156" spans="1:8" ht="24" outlineLevel="2">
      <c r="A156" s="72" t="str">
        <f>'Приложение 3'!A164</f>
        <v>За счет средств на расходы на осуществление социальных гарантий молодым специалистам</v>
      </c>
      <c r="B156" s="37" t="str">
        <f>'Приложение 3'!C164</f>
        <v>0701</v>
      </c>
      <c r="C156" s="37" t="str">
        <f>'Приложение 3'!D164</f>
        <v>52</v>
      </c>
      <c r="D156" s="37">
        <f>'Приложение 3'!E164</f>
        <v>0</v>
      </c>
      <c r="E156" s="37">
        <f>'Приложение 3'!F164</f>
        <v>600</v>
      </c>
      <c r="F156" s="36">
        <f>'Приложение 3'!G164</f>
        <v>8.11988</v>
      </c>
      <c r="G156" s="36">
        <f>'Приложение 3'!H164</f>
        <v>8.11988</v>
      </c>
      <c r="H156" s="93">
        <f t="shared" si="2"/>
        <v>100</v>
      </c>
    </row>
    <row r="157" spans="1:8" ht="12.75" outlineLevel="5">
      <c r="A157" s="72" t="str">
        <f>'Приложение 3'!A165</f>
        <v>Общее образование</v>
      </c>
      <c r="B157" s="37" t="str">
        <f>'Приложение 3'!C165</f>
        <v>0702</v>
      </c>
      <c r="C157" s="37"/>
      <c r="D157" s="37"/>
      <c r="E157" s="37"/>
      <c r="F157" s="36">
        <f>'Приложение 3'!G165</f>
        <v>119336.47312</v>
      </c>
      <c r="G157" s="36">
        <f>'Приложение 3'!H165</f>
        <v>103495.89012000003</v>
      </c>
      <c r="H157" s="93">
        <f t="shared" si="2"/>
        <v>86.7261176856875</v>
      </c>
    </row>
    <row r="158" spans="1:8" ht="24" outlineLevel="5">
      <c r="A158" s="72" t="str">
        <f>'Приложение 3'!A166</f>
        <v>Школы-детские сады, школы начальные, неполные средние и средние</v>
      </c>
      <c r="B158" s="37" t="str">
        <f>'Приложение 3'!C166</f>
        <v>0702</v>
      </c>
      <c r="C158" s="37"/>
      <c r="D158" s="37"/>
      <c r="E158" s="37"/>
      <c r="F158" s="36">
        <f>'Приложение 3'!G166</f>
        <v>119336.47312</v>
      </c>
      <c r="G158" s="36">
        <f>'Приложение 3'!H166</f>
        <v>103495.89012000003</v>
      </c>
      <c r="H158" s="93">
        <f t="shared" si="2"/>
        <v>86.7261176856875</v>
      </c>
    </row>
    <row r="159" spans="1:8" ht="41.25" customHeight="1" outlineLevel="5">
      <c r="A159" s="72" t="str">
        <f>'Приложение 3'!A167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59" s="37" t="str">
        <f>'Приложение 3'!C167</f>
        <v>0702</v>
      </c>
      <c r="C159" s="37" t="str">
        <f>'Приложение 3'!D167</f>
        <v>02</v>
      </c>
      <c r="D159" s="37">
        <f>'Приложение 3'!E167</f>
        <v>0</v>
      </c>
      <c r="E159" s="37"/>
      <c r="F159" s="36">
        <f>'Приложение 3'!G167</f>
        <v>7613.13</v>
      </c>
      <c r="G159" s="36">
        <f>'Приложение 3'!H167</f>
        <v>6385.70853</v>
      </c>
      <c r="H159" s="93">
        <f t="shared" si="2"/>
        <v>83.87757111726714</v>
      </c>
    </row>
    <row r="160" spans="1:8" ht="41.25" customHeight="1" outlineLevel="5">
      <c r="A160" s="72" t="str">
        <f>'Приложение 3'!A168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0" s="37" t="str">
        <f>'Приложение 3'!C168</f>
        <v>0702</v>
      </c>
      <c r="C160" s="37" t="str">
        <f>'Приложение 3'!D168</f>
        <v>02</v>
      </c>
      <c r="D160" s="37">
        <f>'Приложение 3'!E168</f>
        <v>3</v>
      </c>
      <c r="E160" s="37"/>
      <c r="F160" s="36">
        <f>'Приложение 3'!G168</f>
        <v>5393.83</v>
      </c>
      <c r="G160" s="36">
        <f>'Приложение 3'!H168</f>
        <v>4501.2385</v>
      </c>
      <c r="H160" s="93">
        <f t="shared" si="2"/>
        <v>83.45161972105166</v>
      </c>
    </row>
    <row r="161" spans="1:8" ht="32.25" customHeight="1" outlineLevel="5">
      <c r="A161" s="72" t="str">
        <f>'Приложение 3'!A169</f>
        <v>Предоставление субсидий бюджетным, автономным учреждениям и иным некоммерческим организациям</v>
      </c>
      <c r="B161" s="37" t="str">
        <f>'Приложение 3'!C169</f>
        <v>0702</v>
      </c>
      <c r="C161" s="37" t="str">
        <f>'Приложение 3'!D169</f>
        <v>02</v>
      </c>
      <c r="D161" s="37">
        <f>'Приложение 3'!E169</f>
        <v>3</v>
      </c>
      <c r="E161" s="37">
        <f>'Приложение 3'!F169</f>
        <v>600</v>
      </c>
      <c r="F161" s="36">
        <f>'Приложение 3'!G169</f>
        <v>5393.83</v>
      </c>
      <c r="G161" s="36">
        <f>'Приложение 3'!H169</f>
        <v>4501.2385</v>
      </c>
      <c r="H161" s="93">
        <f t="shared" si="2"/>
        <v>83.45161972105166</v>
      </c>
    </row>
    <row r="162" spans="1:8" ht="43.5" customHeight="1" outlineLevel="5">
      <c r="A162" s="72" t="str">
        <f>'Приложение 3'!A170</f>
        <v>Подпрограмма "Энергосбережение и повышение энергетической эффективности Алексеевского муниципального района"</v>
      </c>
      <c r="B162" s="37" t="str">
        <f>'Приложение 3'!C170</f>
        <v>0702</v>
      </c>
      <c r="C162" s="37" t="str">
        <f>'Приложение 3'!D170</f>
        <v>02</v>
      </c>
      <c r="D162" s="37">
        <f>'Приложение 3'!E170</f>
        <v>4</v>
      </c>
      <c r="E162" s="37"/>
      <c r="F162" s="36">
        <f>'Приложение 3'!G170</f>
        <v>2219.3</v>
      </c>
      <c r="G162" s="36">
        <f>'Приложение 3'!H170</f>
        <v>1884.47003</v>
      </c>
      <c r="H162" s="93">
        <f t="shared" si="2"/>
        <v>84.91281169738205</v>
      </c>
    </row>
    <row r="163" spans="1:8" ht="24" outlineLevel="5">
      <c r="A163" s="72" t="str">
        <f>'Приложение 3'!A171</f>
        <v>Закупка товаров, работ и услуг для государственных (муниципальных) нужд</v>
      </c>
      <c r="B163" s="37" t="str">
        <f>'Приложение 3'!C171</f>
        <v>0702</v>
      </c>
      <c r="C163" s="37" t="str">
        <f>'Приложение 3'!D171</f>
        <v>02</v>
      </c>
      <c r="D163" s="37">
        <f>'Приложение 3'!E171</f>
        <v>4</v>
      </c>
      <c r="E163" s="37">
        <f>'Приложение 3'!F171</f>
        <v>200</v>
      </c>
      <c r="F163" s="36">
        <f>'Приложение 3'!G171</f>
        <v>110</v>
      </c>
      <c r="G163" s="36">
        <f>'Приложение 3'!H171</f>
        <v>33.91469</v>
      </c>
      <c r="H163" s="93">
        <f t="shared" si="2"/>
        <v>30.831536363636364</v>
      </c>
    </row>
    <row r="164" spans="1:8" ht="24" outlineLevel="5">
      <c r="A164" s="72" t="str">
        <f>'Приложение 3'!A172</f>
        <v>Предоставление субсидий бюджетным, автономным учреждениям и иным некоммерческим организациям</v>
      </c>
      <c r="B164" s="37" t="str">
        <f>'Приложение 3'!C172</f>
        <v>0702</v>
      </c>
      <c r="C164" s="37" t="str">
        <f>'Приложение 3'!D172</f>
        <v>02</v>
      </c>
      <c r="D164" s="37">
        <f>'Приложение 3'!E172</f>
        <v>4</v>
      </c>
      <c r="E164" s="37">
        <f>'Приложение 3'!F172</f>
        <v>600</v>
      </c>
      <c r="F164" s="36">
        <f>'Приложение 3'!G172</f>
        <v>2109.3</v>
      </c>
      <c r="G164" s="36">
        <f>'Приложение 3'!H172</f>
        <v>1850.55534</v>
      </c>
      <c r="H164" s="93">
        <f t="shared" si="2"/>
        <v>87.73315033423408</v>
      </c>
    </row>
    <row r="165" spans="1:8" ht="36" outlineLevel="5">
      <c r="A165" s="72" t="str">
        <f>'Приложение 3'!A173</f>
        <v>Муниципальная программа "Благоустройство территорий образовательных учреждений Алексеевского муниципального района на 2017 год"</v>
      </c>
      <c r="B165" s="37" t="str">
        <f>'Приложение 3'!C173</f>
        <v>0702</v>
      </c>
      <c r="C165" s="37" t="str">
        <f>'Приложение 3'!D173</f>
        <v>09</v>
      </c>
      <c r="D165" s="37">
        <f>'Приложение 3'!E173</f>
        <v>0</v>
      </c>
      <c r="E165" s="37"/>
      <c r="F165" s="36">
        <f>'Приложение 3'!G173</f>
        <v>470</v>
      </c>
      <c r="G165" s="36">
        <f>'Приложение 3'!H173</f>
        <v>390</v>
      </c>
      <c r="H165" s="93">
        <f t="shared" si="2"/>
        <v>82.97872340425532</v>
      </c>
    </row>
    <row r="166" spans="1:8" ht="24" outlineLevel="5">
      <c r="A166" s="72" t="str">
        <f>'Приложение 3'!A174</f>
        <v>Закупка товаров, работ и услуг для государственных (муниципальных) нужд</v>
      </c>
      <c r="B166" s="37" t="str">
        <f>'Приложение 3'!C174</f>
        <v>0702</v>
      </c>
      <c r="C166" s="37" t="str">
        <f>'Приложение 3'!D174</f>
        <v>09</v>
      </c>
      <c r="D166" s="37">
        <f>'Приложение 3'!E174</f>
        <v>0</v>
      </c>
      <c r="E166" s="37">
        <f>'Приложение 3'!F174</f>
        <v>200</v>
      </c>
      <c r="F166" s="36">
        <f>'Приложение 3'!G174</f>
        <v>65</v>
      </c>
      <c r="G166" s="36">
        <f>'Приложение 3'!H174</f>
        <v>65</v>
      </c>
      <c r="H166" s="93">
        <f t="shared" si="2"/>
        <v>100</v>
      </c>
    </row>
    <row r="167" spans="1:8" ht="24" outlineLevel="5">
      <c r="A167" s="72" t="str">
        <f>'Приложение 3'!A175</f>
        <v>Предоставление субсидий бюджетным, автономным учреждениям и иным некоммерческим организациям</v>
      </c>
      <c r="B167" s="37" t="str">
        <f>'Приложение 3'!C175</f>
        <v>0702</v>
      </c>
      <c r="C167" s="37" t="str">
        <f>'Приложение 3'!D175</f>
        <v>09</v>
      </c>
      <c r="D167" s="37">
        <f>'Приложение 3'!E175</f>
        <v>0</v>
      </c>
      <c r="E167" s="37">
        <f>'Приложение 3'!F175</f>
        <v>600</v>
      </c>
      <c r="F167" s="36">
        <f>'Приложение 3'!G175</f>
        <v>405</v>
      </c>
      <c r="G167" s="36">
        <f>'Приложение 3'!H175</f>
        <v>325</v>
      </c>
      <c r="H167" s="93">
        <f t="shared" si="2"/>
        <v>80.24691358024691</v>
      </c>
    </row>
    <row r="168" spans="1:8" ht="48" outlineLevel="5">
      <c r="A168" s="72" t="str">
        <f>'Приложение 3'!A176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168" s="37" t="str">
        <f>'Приложение 3'!C176</f>
        <v>0702</v>
      </c>
      <c r="C168" s="37" t="str">
        <f>'Приложение 3'!D176</f>
        <v>16</v>
      </c>
      <c r="D168" s="37">
        <f>'Приложение 3'!E176</f>
        <v>0</v>
      </c>
      <c r="E168" s="37"/>
      <c r="F168" s="36">
        <f>'Приложение 3'!G176</f>
        <v>0</v>
      </c>
      <c r="G168" s="36">
        <f>'Приложение 3'!H176</f>
        <v>0</v>
      </c>
      <c r="H168" s="93" t="e">
        <f t="shared" si="2"/>
        <v>#DIV/0!</v>
      </c>
    </row>
    <row r="169" spans="1:8" ht="24" outlineLevel="5">
      <c r="A169" s="72" t="str">
        <f>'Приложение 3'!A177</f>
        <v>Предоставление субсидий бюджетным, автономным учреждениям и иным некоммерческим организациям</v>
      </c>
      <c r="B169" s="37" t="str">
        <f>'Приложение 3'!C177</f>
        <v>0702</v>
      </c>
      <c r="C169" s="37" t="str">
        <f>'Приложение 3'!D177</f>
        <v>16</v>
      </c>
      <c r="D169" s="37">
        <f>'Приложение 3'!E177</f>
        <v>0</v>
      </c>
      <c r="E169" s="37">
        <f>'Приложение 3'!F177</f>
        <v>600</v>
      </c>
      <c r="F169" s="36">
        <f>'Приложение 3'!G177</f>
        <v>0</v>
      </c>
      <c r="G169" s="36">
        <f>'Приложение 3'!H177</f>
        <v>0</v>
      </c>
      <c r="H169" s="93" t="e">
        <f t="shared" si="2"/>
        <v>#DIV/0!</v>
      </c>
    </row>
    <row r="170" spans="1:8" ht="36" outlineLevel="5">
      <c r="A170" s="72" t="str">
        <f>'Приложение 3'!A178</f>
        <v>Муниципальная программа "Развитие физической культуры и спорта в Алексеевском муниципальном районе на 2016-2018 годы"</v>
      </c>
      <c r="B170" s="37" t="str">
        <f>'Приложение 3'!C178</f>
        <v>0702</v>
      </c>
      <c r="C170" s="37" t="str">
        <f>'Приложение 3'!D178</f>
        <v>17</v>
      </c>
      <c r="D170" s="37">
        <f>'Приложение 3'!E178</f>
        <v>0</v>
      </c>
      <c r="E170" s="37"/>
      <c r="F170" s="36">
        <f>'Приложение 3'!G178</f>
        <v>2589.2</v>
      </c>
      <c r="G170" s="36">
        <f>'Приложение 3'!H178</f>
        <v>2324.9677300000003</v>
      </c>
      <c r="H170" s="93">
        <f t="shared" si="2"/>
        <v>89.79482967712038</v>
      </c>
    </row>
    <row r="171" spans="1:8" ht="36" outlineLevel="5">
      <c r="A171" s="72" t="str">
        <f>'Приложение 3'!A179</f>
        <v>Предоставление субсидий бюджетным, автономным учреждениям и иным некоммерческим организациям за счет средств местного бюджета</v>
      </c>
      <c r="B171" s="37" t="str">
        <f>'Приложение 3'!C179</f>
        <v>0702</v>
      </c>
      <c r="C171" s="37" t="str">
        <f>'Приложение 3'!D179</f>
        <v>17</v>
      </c>
      <c r="D171" s="37">
        <f>'Приложение 3'!E179</f>
        <v>0</v>
      </c>
      <c r="E171" s="37">
        <f>'Приложение 3'!F179</f>
        <v>600</v>
      </c>
      <c r="F171" s="36">
        <f>'Приложение 3'!G179</f>
        <v>1000</v>
      </c>
      <c r="G171" s="36">
        <f>'Приложение 3'!H179</f>
        <v>735.76773</v>
      </c>
      <c r="H171" s="93">
        <f t="shared" si="2"/>
        <v>73.576773</v>
      </c>
    </row>
    <row r="172" spans="1:8" ht="36" outlineLevel="5">
      <c r="A172" s="72" t="str">
        <f>'Приложение 3'!A180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172" s="37" t="str">
        <f>'Приложение 3'!C180</f>
        <v>0702</v>
      </c>
      <c r="C172" s="37" t="str">
        <f>'Приложение 3'!D180</f>
        <v>17</v>
      </c>
      <c r="D172" s="37">
        <f>'Приложение 3'!E180</f>
        <v>0</v>
      </c>
      <c r="E172" s="37">
        <f>'Приложение 3'!F180</f>
        <v>600</v>
      </c>
      <c r="F172" s="36">
        <f>'Приложение 3'!G180</f>
        <v>317.9</v>
      </c>
      <c r="G172" s="36">
        <f>'Приложение 3'!H180</f>
        <v>317.9</v>
      </c>
      <c r="H172" s="93">
        <f t="shared" si="2"/>
        <v>100</v>
      </c>
    </row>
    <row r="173" spans="1:8" ht="36" outlineLevel="5">
      <c r="A173" s="72" t="str">
        <f>'Приложение 3'!A181</f>
        <v>Предоставление субсидий бюджетным, автономным учреждениям и иным некоммерческим организациям за счет средств федерального бюджета</v>
      </c>
      <c r="B173" s="37" t="str">
        <f>'Приложение 3'!C181</f>
        <v>0702</v>
      </c>
      <c r="C173" s="37" t="str">
        <f>'Приложение 3'!D181</f>
        <v>17</v>
      </c>
      <c r="D173" s="37">
        <f>'Приложение 3'!E181</f>
        <v>0</v>
      </c>
      <c r="E173" s="37">
        <f>'Приложение 3'!F181</f>
        <v>600</v>
      </c>
      <c r="F173" s="36">
        <f>'Приложение 3'!G181</f>
        <v>1271.3</v>
      </c>
      <c r="G173" s="36">
        <f>'Приложение 3'!H181</f>
        <v>1271.3</v>
      </c>
      <c r="H173" s="93">
        <f t="shared" si="2"/>
        <v>100</v>
      </c>
    </row>
    <row r="174" spans="1:8" ht="96" outlineLevel="5">
      <c r="A174" s="72" t="str">
        <f>'Приложение 3'!A182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74" s="37" t="str">
        <f>'Приложение 3'!C182</f>
        <v>0702</v>
      </c>
      <c r="C174" s="37" t="str">
        <f>'Приложение 3'!D182</f>
        <v>22</v>
      </c>
      <c r="D174" s="37">
        <f>'Приложение 3'!E182</f>
        <v>0</v>
      </c>
      <c r="E174" s="37"/>
      <c r="F174" s="36">
        <f>'Приложение 3'!G182</f>
        <v>135.47799999999998</v>
      </c>
      <c r="G174" s="36">
        <f>'Приложение 3'!H182</f>
        <v>10.176</v>
      </c>
      <c r="H174" s="93">
        <f t="shared" si="2"/>
        <v>7.511182627437667</v>
      </c>
    </row>
    <row r="175" spans="1:8" ht="24" outlineLevel="5">
      <c r="A175" s="72" t="str">
        <f>'Приложение 3'!A183</f>
        <v>Предоставление субсидий бюджетным, автономным учреждениям и иным некоммерческим организациям</v>
      </c>
      <c r="B175" s="37" t="str">
        <f>'Приложение 3'!C183</f>
        <v>0702</v>
      </c>
      <c r="C175" s="37" t="str">
        <f>'Приложение 3'!D183</f>
        <v>22</v>
      </c>
      <c r="D175" s="37">
        <f>'Приложение 3'!E183</f>
        <v>0</v>
      </c>
      <c r="E175" s="37">
        <f>'Приложение 3'!F183</f>
        <v>600</v>
      </c>
      <c r="F175" s="36">
        <f>'Приложение 3'!G183</f>
        <v>135.47799999999998</v>
      </c>
      <c r="G175" s="36">
        <f>'Приложение 3'!H183</f>
        <v>10.176</v>
      </c>
      <c r="H175" s="93">
        <f t="shared" si="2"/>
        <v>7.511182627437667</v>
      </c>
    </row>
    <row r="176" spans="1:8" ht="36" outlineLevel="5">
      <c r="A176" s="72" t="str">
        <f>'Приложение 3'!A184</f>
        <v>Ведомственная целевая программа "Развитие общего образования детей на  территории  Алексеевского муниципального района на 2017-2019 годы"</v>
      </c>
      <c r="B176" s="37" t="str">
        <f>'Приложение 3'!C184</f>
        <v>0702</v>
      </c>
      <c r="C176" s="37" t="str">
        <f>'Приложение 3'!D184</f>
        <v>53</v>
      </c>
      <c r="D176" s="37">
        <f>'Приложение 3'!E184</f>
        <v>0</v>
      </c>
      <c r="E176" s="37"/>
      <c r="F176" s="36">
        <f>'Приложение 3'!G184</f>
        <v>108528.66511999999</v>
      </c>
      <c r="G176" s="36">
        <f>'Приложение 3'!H184</f>
        <v>94385.03786000001</v>
      </c>
      <c r="H176" s="93">
        <f t="shared" si="2"/>
        <v>86.9678418652239</v>
      </c>
    </row>
    <row r="177" spans="1:8" ht="12.75" outlineLevel="5">
      <c r="A177" s="72" t="str">
        <f>'Приложение 3'!A185</f>
        <v>За счет средств бюджета муниципального района</v>
      </c>
      <c r="B177" s="37" t="str">
        <f>'Приложение 3'!C185</f>
        <v>0702</v>
      </c>
      <c r="C177" s="37" t="str">
        <f>'Приложение 3'!D185</f>
        <v>53</v>
      </c>
      <c r="D177" s="37">
        <f>'Приложение 3'!E185</f>
        <v>0</v>
      </c>
      <c r="E177" s="37"/>
      <c r="F177" s="36">
        <f>'Приложение 3'!G185</f>
        <v>20137.785</v>
      </c>
      <c r="G177" s="36">
        <f>'Приложение 3'!H185</f>
        <v>16060.67041</v>
      </c>
      <c r="H177" s="93">
        <f t="shared" si="2"/>
        <v>79.7539074431473</v>
      </c>
    </row>
    <row r="178" spans="1:8" ht="48" outlineLevel="5">
      <c r="A178" s="72" t="str">
        <f>'Приложение 3'!A186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8" s="37" t="str">
        <f>'Приложение 3'!C186</f>
        <v>0702</v>
      </c>
      <c r="C178" s="37" t="str">
        <f>'Приложение 3'!D186</f>
        <v>53</v>
      </c>
      <c r="D178" s="37">
        <f>'Приложение 3'!E186</f>
        <v>0</v>
      </c>
      <c r="E178" s="37">
        <f>'Приложение 3'!F186</f>
        <v>100</v>
      </c>
      <c r="F178" s="36">
        <f>'Приложение 3'!G186</f>
        <v>119.38631</v>
      </c>
      <c r="G178" s="36">
        <f>'Приложение 3'!H186</f>
        <v>73.29031</v>
      </c>
      <c r="H178" s="93">
        <f t="shared" si="2"/>
        <v>61.38920785808691</v>
      </c>
    </row>
    <row r="179" spans="1:8" ht="24" outlineLevel="5">
      <c r="A179" s="72" t="str">
        <f>'Приложение 3'!A187</f>
        <v>Закупка товаров, работ и услуг для государственных (муниципальных) нужд</v>
      </c>
      <c r="B179" s="37" t="str">
        <f>'Приложение 3'!C187</f>
        <v>0702</v>
      </c>
      <c r="C179" s="37" t="str">
        <f>'Приложение 3'!D187</f>
        <v>53</v>
      </c>
      <c r="D179" s="37">
        <f>'Приложение 3'!E187</f>
        <v>0</v>
      </c>
      <c r="E179" s="37">
        <f>'Приложение 3'!F187</f>
        <v>200</v>
      </c>
      <c r="F179" s="36">
        <f>'Приложение 3'!G187</f>
        <v>1856.01369</v>
      </c>
      <c r="G179" s="36">
        <f>'Приложение 3'!H187</f>
        <v>1059.38073</v>
      </c>
      <c r="H179" s="93">
        <f t="shared" si="2"/>
        <v>57.07828211116267</v>
      </c>
    </row>
    <row r="180" spans="1:8" ht="12.75" outlineLevel="5">
      <c r="A180" s="72" t="str">
        <f>'Приложение 3'!A188</f>
        <v>Иные бюджетные ассигнования</v>
      </c>
      <c r="B180" s="37" t="str">
        <f>'Приложение 3'!C188</f>
        <v>0702</v>
      </c>
      <c r="C180" s="37" t="str">
        <f>'Приложение 3'!D188</f>
        <v>53</v>
      </c>
      <c r="D180" s="37">
        <f>'Приложение 3'!E188</f>
        <v>0</v>
      </c>
      <c r="E180" s="37">
        <f>'Приложение 3'!F188</f>
        <v>800</v>
      </c>
      <c r="F180" s="36">
        <f>'Приложение 3'!G188</f>
        <v>76.6</v>
      </c>
      <c r="G180" s="36">
        <f>'Приложение 3'!H188</f>
        <v>31.87129</v>
      </c>
      <c r="H180" s="93">
        <f t="shared" si="2"/>
        <v>41.607428198433425</v>
      </c>
    </row>
    <row r="181" spans="1:8" ht="24" outlineLevel="5">
      <c r="A181" s="72" t="str">
        <f>'Приложение 3'!A189</f>
        <v>Предоставление субсидий бюджетным, автономным учреждениям и иным некоммерческим организациям</v>
      </c>
      <c r="B181" s="37" t="str">
        <f>'Приложение 3'!C189</f>
        <v>0702</v>
      </c>
      <c r="C181" s="37" t="str">
        <f>'Приложение 3'!D189</f>
        <v>53</v>
      </c>
      <c r="D181" s="37">
        <f>'Приложение 3'!E189</f>
        <v>0</v>
      </c>
      <c r="E181" s="37">
        <f>'Приложение 3'!F189</f>
        <v>600</v>
      </c>
      <c r="F181" s="36">
        <f>'Приложение 3'!G189</f>
        <v>18085.785</v>
      </c>
      <c r="G181" s="36">
        <f>'Приложение 3'!H189</f>
        <v>14896.12808</v>
      </c>
      <c r="H181" s="93">
        <f t="shared" si="2"/>
        <v>82.36373527607455</v>
      </c>
    </row>
    <row r="182" spans="1:8" ht="12.75" outlineLevel="5">
      <c r="A182" s="72" t="str">
        <f>'Приложение 3'!A190</f>
        <v>За счет средств областного бюджета </v>
      </c>
      <c r="B182" s="37" t="str">
        <f>'Приложение 3'!C190</f>
        <v>0702</v>
      </c>
      <c r="C182" s="37" t="str">
        <f>'Приложение 3'!D190</f>
        <v>53</v>
      </c>
      <c r="D182" s="37">
        <f>'Приложение 3'!E190</f>
        <v>0</v>
      </c>
      <c r="E182" s="37"/>
      <c r="F182" s="36">
        <f>'Приложение 3'!G190</f>
        <v>88390.88011999999</v>
      </c>
      <c r="G182" s="36">
        <f>'Приложение 3'!H190</f>
        <v>78324.36745</v>
      </c>
      <c r="H182" s="93">
        <f t="shared" si="2"/>
        <v>88.61136730810506</v>
      </c>
    </row>
    <row r="183" spans="1:8" ht="48" outlineLevel="5">
      <c r="A183" s="72" t="str">
        <f>'Приложение 3'!A191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3" s="37" t="str">
        <f>'Приложение 3'!C191</f>
        <v>0702</v>
      </c>
      <c r="C183" s="37" t="str">
        <f>'Приложение 3'!D191</f>
        <v>53</v>
      </c>
      <c r="D183" s="37">
        <f>'Приложение 3'!E191</f>
        <v>0</v>
      </c>
      <c r="E183" s="37">
        <f>'Приложение 3'!F191</f>
        <v>100</v>
      </c>
      <c r="F183" s="36">
        <f>'Приложение 3'!G191</f>
        <v>4705.98697</v>
      </c>
      <c r="G183" s="36">
        <f>'Приложение 3'!H191</f>
        <v>3908.95333</v>
      </c>
      <c r="H183" s="93">
        <f t="shared" si="2"/>
        <v>83.06341166941225</v>
      </c>
    </row>
    <row r="184" spans="1:8" ht="52.5" customHeight="1" outlineLevel="5">
      <c r="A184" s="72" t="str">
        <f>'Приложение 3'!A192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01.01.2017 г. за счет средств областного бюджета </v>
      </c>
      <c r="B184" s="37" t="str">
        <f>'Приложение 3'!C192</f>
        <v>0702</v>
      </c>
      <c r="C184" s="37" t="str">
        <f>'Приложение 3'!D192</f>
        <v>53</v>
      </c>
      <c r="D184" s="37">
        <f>'Приложение 3'!E192</f>
        <v>0</v>
      </c>
      <c r="E184" s="37">
        <f>'Приложение 3'!F192</f>
        <v>100</v>
      </c>
      <c r="F184" s="36">
        <f>'Приложение 3'!G192</f>
        <v>228.11303</v>
      </c>
      <c r="G184" s="36">
        <f>'Приложение 3'!H192</f>
        <v>228.11303</v>
      </c>
      <c r="H184" s="93">
        <f t="shared" si="2"/>
        <v>100</v>
      </c>
    </row>
    <row r="185" spans="1:8" ht="24" outlineLevel="5">
      <c r="A185" s="72" t="str">
        <f>'Приложение 3'!A193</f>
        <v>Закупка товаров, работ и услуг для государственных (муниципальных) нужд</v>
      </c>
      <c r="B185" s="37" t="str">
        <f>'Приложение 3'!C193</f>
        <v>0702</v>
      </c>
      <c r="C185" s="37" t="str">
        <f>'Приложение 3'!D193</f>
        <v>53</v>
      </c>
      <c r="D185" s="37">
        <f>'Приложение 3'!E193</f>
        <v>0</v>
      </c>
      <c r="E185" s="37">
        <f>'Приложение 3'!F193</f>
        <v>200</v>
      </c>
      <c r="F185" s="36">
        <f>'Приложение 3'!G193</f>
        <v>39.2</v>
      </c>
      <c r="G185" s="36">
        <f>'Приложение 3'!H193</f>
        <v>2.9165599999999987</v>
      </c>
      <c r="H185" s="93">
        <f t="shared" si="2"/>
        <v>7.44020408163265</v>
      </c>
    </row>
    <row r="186" spans="1:8" ht="48" outlineLevel="5">
      <c r="A186" s="72" t="str">
        <f>'Приложение 3'!A194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01.01.2017 г. за счет средств областного бюджета </v>
      </c>
      <c r="B186" s="37" t="str">
        <f>'Приложение 3'!C194</f>
        <v>0702</v>
      </c>
      <c r="C186" s="37" t="str">
        <f>'Приложение 3'!D194</f>
        <v>53</v>
      </c>
      <c r="D186" s="37">
        <f>'Приложение 3'!E194</f>
        <v>0</v>
      </c>
      <c r="E186" s="37">
        <f>'Приложение 3'!F194</f>
        <v>200</v>
      </c>
      <c r="F186" s="36">
        <f>'Приложение 3'!G194</f>
        <v>41.442</v>
      </c>
      <c r="G186" s="36">
        <f>'Приложение 3'!H194</f>
        <v>9.73989</v>
      </c>
      <c r="H186" s="93">
        <f t="shared" si="2"/>
        <v>23.502461271174173</v>
      </c>
    </row>
    <row r="187" spans="1:8" ht="12.75" outlineLevel="5">
      <c r="A187" s="72" t="str">
        <f>'Приложение 3'!A195</f>
        <v>За счет средств областного бюджета на питание</v>
      </c>
      <c r="B187" s="37" t="str">
        <f>'Приложение 3'!C195</f>
        <v>0702</v>
      </c>
      <c r="C187" s="37" t="str">
        <f>'Приложение 3'!D195</f>
        <v>53</v>
      </c>
      <c r="D187" s="37">
        <f>'Приложение 3'!E195</f>
        <v>0</v>
      </c>
      <c r="E187" s="37">
        <f>'Приложение 3'!F195</f>
        <v>200</v>
      </c>
      <c r="F187" s="36">
        <f>'Приложение 3'!G195</f>
        <v>100.19</v>
      </c>
      <c r="G187" s="36">
        <f>'Приложение 3'!H195</f>
        <v>40.362</v>
      </c>
      <c r="H187" s="93">
        <f t="shared" si="2"/>
        <v>40.285457630502044</v>
      </c>
    </row>
    <row r="188" spans="1:8" ht="24" outlineLevel="5">
      <c r="A188" s="72" t="str">
        <f>'Приложение 3'!A196</f>
        <v>За счет средств областного бюджета на образовательный процесс</v>
      </c>
      <c r="B188" s="37" t="str">
        <f>'Приложение 3'!C196</f>
        <v>0702</v>
      </c>
      <c r="C188" s="37" t="str">
        <f>'Приложение 3'!D196</f>
        <v>53</v>
      </c>
      <c r="D188" s="37">
        <f>'Приложение 3'!E196</f>
        <v>0</v>
      </c>
      <c r="E188" s="37">
        <f>'Приложение 3'!F196</f>
        <v>600</v>
      </c>
      <c r="F188" s="36">
        <f>'Приложение 3'!G196</f>
        <v>77512.32126</v>
      </c>
      <c r="G188" s="36">
        <f>'Приложение 3'!H196</f>
        <v>69119.04446</v>
      </c>
      <c r="H188" s="93">
        <f t="shared" si="2"/>
        <v>89.17168694787712</v>
      </c>
    </row>
    <row r="189" spans="1:8" ht="48" outlineLevel="5">
      <c r="A189" s="72" t="str">
        <f>'Приложение 3'!A197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01.01.2017 г.  за счет средств областного бюджета </v>
      </c>
      <c r="B189" s="37" t="str">
        <f>'Приложение 3'!C197</f>
        <v>0702</v>
      </c>
      <c r="C189" s="37" t="str">
        <f>'Приложение 3'!D197</f>
        <v>53</v>
      </c>
      <c r="D189" s="37">
        <f>'Приложение 3'!E197</f>
        <v>0</v>
      </c>
      <c r="E189" s="37">
        <f>'Приложение 3'!F197</f>
        <v>600</v>
      </c>
      <c r="F189" s="36">
        <f>'Приложение 3'!G197</f>
        <v>3606.8367399999997</v>
      </c>
      <c r="G189" s="36">
        <f>'Приложение 3'!H197</f>
        <v>3367.73885</v>
      </c>
      <c r="H189" s="93">
        <f t="shared" si="2"/>
        <v>93.37098107745238</v>
      </c>
    </row>
    <row r="190" spans="1:8" ht="12.75" outlineLevel="5">
      <c r="A190" s="72" t="str">
        <f>'Приложение 3'!A198</f>
        <v>За счет средств областного бюджета на питание</v>
      </c>
      <c r="B190" s="37" t="str">
        <f>'Приложение 3'!C198</f>
        <v>0702</v>
      </c>
      <c r="C190" s="37" t="str">
        <f>'Приложение 3'!D198</f>
        <v>53</v>
      </c>
      <c r="D190" s="37">
        <f>'Приложение 3'!E198</f>
        <v>0</v>
      </c>
      <c r="E190" s="37">
        <f>'Приложение 3'!F198</f>
        <v>600</v>
      </c>
      <c r="F190" s="36">
        <f>'Приложение 3'!G198</f>
        <v>2002.31</v>
      </c>
      <c r="G190" s="36">
        <f>'Приложение 3'!H198</f>
        <v>1579.61753</v>
      </c>
      <c r="H190" s="93">
        <f t="shared" si="2"/>
        <v>78.88975882855303</v>
      </c>
    </row>
    <row r="191" spans="1:8" ht="24" outlineLevel="5">
      <c r="A191" s="72" t="str">
        <f>'Приложение 3'!A199</f>
        <v>За счет средств на расходы на осуществление социальных гарантий молодым специалистам</v>
      </c>
      <c r="B191" s="37" t="str">
        <f>'Приложение 3'!C199</f>
        <v>0702</v>
      </c>
      <c r="C191" s="37" t="str">
        <f>'Приложение 3'!D199</f>
        <v>53</v>
      </c>
      <c r="D191" s="37">
        <f>'Приложение 3'!E199</f>
        <v>0</v>
      </c>
      <c r="E191" s="37">
        <f>'Приложение 3'!F199</f>
        <v>600</v>
      </c>
      <c r="F191" s="36">
        <f>'Приложение 3'!G199</f>
        <v>154.48012</v>
      </c>
      <c r="G191" s="36">
        <f>'Приложение 3'!H199</f>
        <v>67.8818</v>
      </c>
      <c r="H191" s="93">
        <f t="shared" si="2"/>
        <v>43.942094296664195</v>
      </c>
    </row>
    <row r="192" spans="1:8" ht="24" outlineLevel="5">
      <c r="A192" s="72" t="str">
        <f>'Приложение 3'!A200</f>
        <v>За счет средств на софинансирование из федерального бюджета</v>
      </c>
      <c r="B192" s="37" t="str">
        <f>'Приложение 3'!C200</f>
        <v>0702</v>
      </c>
      <c r="C192" s="37" t="str">
        <f>'Приложение 3'!D200</f>
        <v>53</v>
      </c>
      <c r="D192" s="37">
        <f>'Приложение 3'!E200</f>
        <v>0</v>
      </c>
      <c r="E192" s="37">
        <f>'Приложение 3'!F200</f>
        <v>600</v>
      </c>
      <c r="F192" s="36">
        <f>'Приложение 3'!G200</f>
        <v>0</v>
      </c>
      <c r="G192" s="36">
        <f>'Приложение 3'!H200</f>
        <v>0</v>
      </c>
      <c r="H192" s="93" t="e">
        <f t="shared" si="2"/>
        <v>#DIV/0!</v>
      </c>
    </row>
    <row r="193" spans="1:8" ht="12.75" outlineLevel="5">
      <c r="A193" s="72" t="str">
        <f>'Приложение 3'!A201</f>
        <v>Дополнительное образование детей</v>
      </c>
      <c r="B193" s="37" t="str">
        <f>'Приложение 3'!C201</f>
        <v>0703</v>
      </c>
      <c r="C193" s="37"/>
      <c r="D193" s="37"/>
      <c r="E193" s="37"/>
      <c r="F193" s="36">
        <f>'Приложение 3'!G201</f>
        <v>11345.6</v>
      </c>
      <c r="G193" s="36">
        <f>'Приложение 3'!H201</f>
        <v>7637.713299999999</v>
      </c>
      <c r="H193" s="93">
        <f t="shared" si="2"/>
        <v>67.3187253208292</v>
      </c>
    </row>
    <row r="194" spans="1:8" ht="44.25" customHeight="1" outlineLevel="5">
      <c r="A194" s="72" t="str">
        <f>'Приложение 3'!A202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94" s="37" t="str">
        <f>'Приложение 3'!C202</f>
        <v>0703</v>
      </c>
      <c r="C194" s="37" t="str">
        <f>'Приложение 3'!D202</f>
        <v>02</v>
      </c>
      <c r="D194" s="37">
        <f>'Приложение 3'!E202</f>
        <v>0</v>
      </c>
      <c r="E194" s="37"/>
      <c r="F194" s="36">
        <f>'Приложение 3'!G202</f>
        <v>1408.1</v>
      </c>
      <c r="G194" s="36">
        <f>'Приложение 3'!H202</f>
        <v>0</v>
      </c>
      <c r="H194" s="93">
        <f t="shared" si="2"/>
        <v>0</v>
      </c>
    </row>
    <row r="195" spans="1:8" ht="36" outlineLevel="5">
      <c r="A195" s="72" t="str">
        <f>'Приложение 3'!A203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95" s="37" t="str">
        <f>'Приложение 3'!C203</f>
        <v>0703</v>
      </c>
      <c r="C195" s="37" t="str">
        <f>'Приложение 3'!D203</f>
        <v>02</v>
      </c>
      <c r="D195" s="37">
        <f>'Приложение 3'!E203</f>
        <v>3</v>
      </c>
      <c r="E195" s="37"/>
      <c r="F195" s="36">
        <f>'Приложение 3'!G203</f>
        <v>1408.1</v>
      </c>
      <c r="G195" s="36">
        <f>'Приложение 3'!H203</f>
        <v>0</v>
      </c>
      <c r="H195" s="93">
        <f t="shared" si="2"/>
        <v>0</v>
      </c>
    </row>
    <row r="196" spans="1:8" ht="24" outlineLevel="5">
      <c r="A196" s="72" t="str">
        <f>'Приложение 3'!A204</f>
        <v>Предоставление субсидий бюджетным, автономным учреждениям и иным некоммерческим организациям</v>
      </c>
      <c r="B196" s="37" t="str">
        <f>'Приложение 3'!C204</f>
        <v>0703</v>
      </c>
      <c r="C196" s="37" t="str">
        <f>'Приложение 3'!D204</f>
        <v>02</v>
      </c>
      <c r="D196" s="37">
        <f>'Приложение 3'!E204</f>
        <v>3</v>
      </c>
      <c r="E196" s="37">
        <f>'Приложение 3'!F204</f>
        <v>600</v>
      </c>
      <c r="F196" s="36">
        <f>'Приложение 3'!G204</f>
        <v>1408.1</v>
      </c>
      <c r="G196" s="36">
        <f>'Приложение 3'!H204</f>
        <v>0</v>
      </c>
      <c r="H196" s="93">
        <f t="shared" si="2"/>
        <v>0</v>
      </c>
    </row>
    <row r="197" spans="1:8" ht="36" outlineLevel="5">
      <c r="A197" s="72" t="str">
        <f>'Приложение 3'!A205</f>
        <v>Муниципальная программа "Благоустройство территорий образовательных учреждений Алексеевского муниципального района на 2017 год"</v>
      </c>
      <c r="B197" s="37" t="str">
        <f>'Приложение 3'!C205</f>
        <v>0703</v>
      </c>
      <c r="C197" s="37" t="str">
        <f>'Приложение 3'!D205</f>
        <v>09</v>
      </c>
      <c r="D197" s="37">
        <f>'Приложение 3'!E205</f>
        <v>0</v>
      </c>
      <c r="E197" s="37"/>
      <c r="F197" s="36">
        <f>'Приложение 3'!G205</f>
        <v>40</v>
      </c>
      <c r="G197" s="36">
        <f>'Приложение 3'!H205</f>
        <v>40</v>
      </c>
      <c r="H197" s="93">
        <f t="shared" si="2"/>
        <v>100</v>
      </c>
    </row>
    <row r="198" spans="1:8" ht="24" outlineLevel="5">
      <c r="A198" s="72" t="str">
        <f>'Приложение 3'!A206</f>
        <v>Предоставление субсидий бюджетным, автономным учреждениям и иным некоммерческим организациям</v>
      </c>
      <c r="B198" s="37" t="str">
        <f>'Приложение 3'!C206</f>
        <v>0703</v>
      </c>
      <c r="C198" s="37" t="str">
        <f>'Приложение 3'!D206</f>
        <v>09</v>
      </c>
      <c r="D198" s="37">
        <f>'Приложение 3'!E206</f>
        <v>0</v>
      </c>
      <c r="E198" s="37">
        <f>'Приложение 3'!F206</f>
        <v>600</v>
      </c>
      <c r="F198" s="36">
        <f>'Приложение 3'!G206</f>
        <v>40</v>
      </c>
      <c r="G198" s="36">
        <f>'Приложение 3'!H206</f>
        <v>40</v>
      </c>
      <c r="H198" s="93">
        <f t="shared" si="2"/>
        <v>100</v>
      </c>
    </row>
    <row r="199" spans="1:8" ht="48" outlineLevel="5">
      <c r="A199" s="72" t="str">
        <f>'Приложение 3'!A207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199" s="37" t="str">
        <f>'Приложение 3'!C207</f>
        <v>0703</v>
      </c>
      <c r="C199" s="37" t="str">
        <f>'Приложение 3'!D207</f>
        <v>16</v>
      </c>
      <c r="D199" s="37">
        <f>'Приложение 3'!E207</f>
        <v>0</v>
      </c>
      <c r="E199" s="37"/>
      <c r="F199" s="36">
        <f>'Приложение 3'!G207</f>
        <v>0</v>
      </c>
      <c r="G199" s="36">
        <f>'Приложение 3'!H207</f>
        <v>0</v>
      </c>
      <c r="H199" s="93" t="e">
        <f t="shared" si="2"/>
        <v>#DIV/0!</v>
      </c>
    </row>
    <row r="200" spans="1:8" ht="33.75" customHeight="1" outlineLevel="5">
      <c r="A200" s="72" t="str">
        <f>'Приложение 3'!A208</f>
        <v>Предоставление субсидий бюджетным, автономным учреждениям и иным некоммерческим организациям</v>
      </c>
      <c r="B200" s="37" t="str">
        <f>'Приложение 3'!C208</f>
        <v>0703</v>
      </c>
      <c r="C200" s="37" t="str">
        <f>'Приложение 3'!D208</f>
        <v>16</v>
      </c>
      <c r="D200" s="37">
        <f>'Приложение 3'!E208</f>
        <v>0</v>
      </c>
      <c r="E200" s="37"/>
      <c r="F200" s="36">
        <f>'Приложение 3'!G208</f>
        <v>0</v>
      </c>
      <c r="G200" s="36">
        <f>'Приложение 3'!H208</f>
        <v>0</v>
      </c>
      <c r="H200" s="93" t="e">
        <f t="shared" si="2"/>
        <v>#DIV/0!</v>
      </c>
    </row>
    <row r="201" spans="1:8" ht="48" outlineLevel="5">
      <c r="A201" s="72" t="str">
        <f>'Приложение 3'!A209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201" s="37" t="str">
        <f>'Приложение 3'!C209</f>
        <v>0703</v>
      </c>
      <c r="C201" s="37" t="str">
        <f>'Приложение 3'!D209</f>
        <v>54</v>
      </c>
      <c r="D201" s="37">
        <f>'Приложение 3'!E209</f>
        <v>0</v>
      </c>
      <c r="E201" s="37"/>
      <c r="F201" s="36">
        <f>'Приложение 3'!G209</f>
        <v>4300</v>
      </c>
      <c r="G201" s="36">
        <f>'Приложение 3'!H209</f>
        <v>3328.21909</v>
      </c>
      <c r="H201" s="93">
        <f t="shared" si="2"/>
        <v>77.40044395348838</v>
      </c>
    </row>
    <row r="202" spans="1:8" ht="24" outlineLevel="5">
      <c r="A202" s="72" t="str">
        <f>'Приложение 3'!A210</f>
        <v>Предоставление субсидий бюджетным, автономным учреждениям и иным некоммерческим организациям</v>
      </c>
      <c r="B202" s="37" t="str">
        <f>'Приложение 3'!C210</f>
        <v>0703</v>
      </c>
      <c r="C202" s="37" t="str">
        <f>'Приложение 3'!D210</f>
        <v>54</v>
      </c>
      <c r="D202" s="37">
        <f>'Приложение 3'!E210</f>
        <v>0</v>
      </c>
      <c r="E202" s="37">
        <f>'Приложение 3'!F210</f>
        <v>600</v>
      </c>
      <c r="F202" s="36">
        <f>'Приложение 3'!G210</f>
        <v>4300</v>
      </c>
      <c r="G202" s="36">
        <f>'Приложение 3'!H210</f>
        <v>3328.21909</v>
      </c>
      <c r="H202" s="93">
        <f aca="true" t="shared" si="3" ref="H202:H265">SUM(G202/F202)*100</f>
        <v>77.40044395348838</v>
      </c>
    </row>
    <row r="203" spans="1:8" ht="48" outlineLevel="5">
      <c r="A203" s="72" t="str">
        <f>'Приложение 3'!A211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203" s="37" t="str">
        <f>'Приложение 3'!C211</f>
        <v>0703</v>
      </c>
      <c r="C203" s="37" t="str">
        <f>'Приложение 3'!D211</f>
        <v>55</v>
      </c>
      <c r="D203" s="37">
        <f>'Приложение 3'!E211</f>
        <v>0</v>
      </c>
      <c r="E203" s="37"/>
      <c r="F203" s="36">
        <f>'Приложение 3'!G211</f>
        <v>5597.5</v>
      </c>
      <c r="G203" s="36">
        <f>'Приложение 3'!H211</f>
        <v>4269.49421</v>
      </c>
      <c r="H203" s="93">
        <f t="shared" si="3"/>
        <v>76.27501938365342</v>
      </c>
    </row>
    <row r="204" spans="1:8" ht="24" outlineLevel="5">
      <c r="A204" s="72" t="str">
        <f>'Приложение 3'!A212</f>
        <v>Предоставление субсидий бюджетным, автономным учреждениям и иным некоммерческим организациям</v>
      </c>
      <c r="B204" s="37" t="str">
        <f>'Приложение 3'!C212</f>
        <v>0703</v>
      </c>
      <c r="C204" s="37" t="str">
        <f>'Приложение 3'!D212</f>
        <v>55</v>
      </c>
      <c r="D204" s="37">
        <f>'Приложение 3'!E212</f>
        <v>0</v>
      </c>
      <c r="E204" s="37">
        <f>'Приложение 3'!F212</f>
        <v>600</v>
      </c>
      <c r="F204" s="36">
        <f>'Приложение 3'!G212</f>
        <v>5582.5</v>
      </c>
      <c r="G204" s="36">
        <f>'Приложение 3'!H212</f>
        <v>4260.49589</v>
      </c>
      <c r="H204" s="93">
        <f t="shared" si="3"/>
        <v>76.31877993730409</v>
      </c>
    </row>
    <row r="205" spans="1:8" ht="24" outlineLevel="5">
      <c r="A205" s="72" t="str">
        <f>'Приложение 3'!A213</f>
        <v>За счет средств на расходы на осуществление социальных гарантий молодым специалистам</v>
      </c>
      <c r="B205" s="37" t="str">
        <f>'Приложение 3'!C213</f>
        <v>0703</v>
      </c>
      <c r="C205" s="37" t="str">
        <f>'Приложение 3'!D213</f>
        <v>55</v>
      </c>
      <c r="D205" s="37">
        <f>'Приложение 3'!E213</f>
        <v>0</v>
      </c>
      <c r="E205" s="37">
        <f>'Приложение 3'!F213</f>
        <v>600</v>
      </c>
      <c r="F205" s="36">
        <f>'Приложение 3'!G213</f>
        <v>15</v>
      </c>
      <c r="G205" s="36">
        <f>'Приложение 3'!H213</f>
        <v>8.99832</v>
      </c>
      <c r="H205" s="93">
        <f t="shared" si="3"/>
        <v>59.9888</v>
      </c>
    </row>
    <row r="206" spans="1:8" ht="12.75" outlineLevel="5">
      <c r="A206" s="72" t="str">
        <f>'Приложение 3'!A214</f>
        <v>Молодежная политика и оздоровление детей</v>
      </c>
      <c r="B206" s="37" t="str">
        <f>'Приложение 3'!C214</f>
        <v>0707</v>
      </c>
      <c r="C206" s="37">
        <f>'Приложение 3'!D214</f>
      </c>
      <c r="D206" s="37">
        <f>'Приложение 3'!E214</f>
      </c>
      <c r="E206" s="37"/>
      <c r="F206" s="36">
        <f>'Приложение 3'!G214</f>
        <v>8121.75648</v>
      </c>
      <c r="G206" s="36">
        <f>'Приложение 3'!H214</f>
        <v>6808.64111</v>
      </c>
      <c r="H206" s="93">
        <f t="shared" si="3"/>
        <v>83.83212580636251</v>
      </c>
    </row>
    <row r="207" spans="1:8" ht="36" outlineLevel="5">
      <c r="A207" s="72" t="str">
        <f>'Приложение 3'!A215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207" s="37" t="str">
        <f>'Приложение 3'!C215</f>
        <v>0707</v>
      </c>
      <c r="C207" s="37" t="str">
        <f>'Приложение 3'!D215</f>
        <v>02</v>
      </c>
      <c r="D207" s="37">
        <f>'Приложение 3'!E215</f>
        <v>0</v>
      </c>
      <c r="E207" s="37"/>
      <c r="F207" s="36">
        <f>'Приложение 3'!G215</f>
        <v>839.6878</v>
      </c>
      <c r="G207" s="36">
        <f>'Приложение 3'!H215</f>
        <v>823.34491</v>
      </c>
      <c r="H207" s="93">
        <f t="shared" si="3"/>
        <v>98.05369448025802</v>
      </c>
    </row>
    <row r="208" spans="1:8" ht="25.5" customHeight="1" outlineLevel="5">
      <c r="A208" s="72" t="str">
        <f>'Приложение 3'!A216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08" s="37" t="str">
        <f>'Приложение 3'!C216</f>
        <v>0707</v>
      </c>
      <c r="C208" s="37" t="str">
        <f>'Приложение 3'!D216</f>
        <v>02</v>
      </c>
      <c r="D208" s="37">
        <f>'Приложение 3'!E216</f>
        <v>3</v>
      </c>
      <c r="E208" s="37"/>
      <c r="F208" s="36">
        <f>'Приложение 3'!G216</f>
        <v>839.6878</v>
      </c>
      <c r="G208" s="36">
        <f>'Приложение 3'!H216</f>
        <v>823.34491</v>
      </c>
      <c r="H208" s="93">
        <f t="shared" si="3"/>
        <v>98.05369448025802</v>
      </c>
    </row>
    <row r="209" spans="1:8" ht="24" outlineLevel="5">
      <c r="A209" s="72" t="str">
        <f>'Приложение 3'!A217</f>
        <v>Предоставление субсидий бюджетным, автономным учреждениям и иным некоммерческим организациям</v>
      </c>
      <c r="B209" s="37" t="str">
        <f>'Приложение 3'!C217</f>
        <v>0707</v>
      </c>
      <c r="C209" s="37" t="str">
        <f>'Приложение 3'!D217</f>
        <v>02</v>
      </c>
      <c r="D209" s="37">
        <f>'Приложение 3'!E217</f>
        <v>3</v>
      </c>
      <c r="E209" s="37">
        <f>'Приложение 3'!F217</f>
        <v>600</v>
      </c>
      <c r="F209" s="36">
        <f>'Приложение 3'!G217</f>
        <v>839.6878</v>
      </c>
      <c r="G209" s="36">
        <f>'Приложение 3'!H217</f>
        <v>823.34491</v>
      </c>
      <c r="H209" s="93">
        <f t="shared" si="3"/>
        <v>98.05369448025802</v>
      </c>
    </row>
    <row r="210" spans="1:8" ht="69" customHeight="1" outlineLevel="5">
      <c r="A210" s="72" t="str">
        <f>'Приложение 3'!A218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10" s="37" t="str">
        <f>'Приложение 3'!C218</f>
        <v>0707</v>
      </c>
      <c r="C210" s="37" t="str">
        <f>'Приложение 3'!D218</f>
        <v>07</v>
      </c>
      <c r="D210" s="37">
        <f>'Приложение 3'!E218</f>
        <v>0</v>
      </c>
      <c r="E210" s="37"/>
      <c r="F210" s="36">
        <f>'Приложение 3'!G218</f>
        <v>338</v>
      </c>
      <c r="G210" s="36">
        <f>'Приложение 3'!H218</f>
        <v>333.2939</v>
      </c>
      <c r="H210" s="93">
        <f t="shared" si="3"/>
        <v>98.60766272189349</v>
      </c>
    </row>
    <row r="211" spans="1:8" ht="24" outlineLevel="5">
      <c r="A211" s="72" t="str">
        <f>'Приложение 3'!A219</f>
        <v>Подпрограмма "Комплексные меры по противодействию наркомании"</v>
      </c>
      <c r="B211" s="37" t="str">
        <f>'Приложение 3'!C219</f>
        <v>0707</v>
      </c>
      <c r="C211" s="37" t="str">
        <f>'Приложение 3'!D219</f>
        <v>07</v>
      </c>
      <c r="D211" s="37">
        <f>'Приложение 3'!E219</f>
        <v>1</v>
      </c>
      <c r="E211" s="37"/>
      <c r="F211" s="36">
        <f>'Приложение 3'!G219</f>
        <v>45</v>
      </c>
      <c r="G211" s="36">
        <f>'Приложение 3'!H219</f>
        <v>45</v>
      </c>
      <c r="H211" s="93">
        <f t="shared" si="3"/>
        <v>100</v>
      </c>
    </row>
    <row r="212" spans="1:8" ht="25.5" customHeight="1" outlineLevel="5">
      <c r="A212" s="72" t="str">
        <f>'Приложение 3'!A220</f>
        <v>Закупка товаров, работ и услуг для государственных (муниципальных) нужд</v>
      </c>
      <c r="B212" s="37" t="str">
        <f>'Приложение 3'!C220</f>
        <v>0707</v>
      </c>
      <c r="C212" s="37" t="str">
        <f>'Приложение 3'!D220</f>
        <v>07</v>
      </c>
      <c r="D212" s="37">
        <f>'Приложение 3'!E220</f>
        <v>1</v>
      </c>
      <c r="E212" s="37">
        <f>'Приложение 3'!F220</f>
        <v>200</v>
      </c>
      <c r="F212" s="36">
        <f>'Приложение 3'!G220</f>
        <v>45</v>
      </c>
      <c r="G212" s="36">
        <f>'Приложение 3'!H220</f>
        <v>45</v>
      </c>
      <c r="H212" s="93">
        <f t="shared" si="3"/>
        <v>100</v>
      </c>
    </row>
    <row r="213" spans="1:8" ht="24" outlineLevel="5">
      <c r="A213" s="72" t="str">
        <f>'Приложение 3'!A221</f>
        <v>Подпрограмма "Реализация мероприятий молодежной политики и социальной адаптации молодежи "</v>
      </c>
      <c r="B213" s="37" t="str">
        <f>'Приложение 3'!C221</f>
        <v>0707</v>
      </c>
      <c r="C213" s="37" t="str">
        <f>'Приложение 3'!D221</f>
        <v>07</v>
      </c>
      <c r="D213" s="37">
        <f>'Приложение 3'!E221</f>
        <v>2</v>
      </c>
      <c r="E213" s="37"/>
      <c r="F213" s="36">
        <f>'Приложение 3'!G221</f>
        <v>238</v>
      </c>
      <c r="G213" s="36">
        <f>'Приложение 3'!H221</f>
        <v>236.4024</v>
      </c>
      <c r="H213" s="93">
        <f t="shared" si="3"/>
        <v>99.32873949579832</v>
      </c>
    </row>
    <row r="214" spans="1:8" ht="27" customHeight="1" outlineLevel="5">
      <c r="A214" s="72" t="str">
        <f>'Приложение 3'!A222</f>
        <v>Закупка товаров, работ и услуг для государственных (муниципальных) нужд</v>
      </c>
      <c r="B214" s="37" t="str">
        <f>'Приложение 3'!C222</f>
        <v>0707</v>
      </c>
      <c r="C214" s="37" t="str">
        <f>'Приложение 3'!D222</f>
        <v>07</v>
      </c>
      <c r="D214" s="37">
        <f>'Приложение 3'!E222</f>
        <v>2</v>
      </c>
      <c r="E214" s="37">
        <f>'Приложение 3'!F222</f>
        <v>200</v>
      </c>
      <c r="F214" s="36">
        <f>'Приложение 3'!G222</f>
        <v>238</v>
      </c>
      <c r="G214" s="36">
        <f>'Приложение 3'!H222</f>
        <v>236.4024</v>
      </c>
      <c r="H214" s="93">
        <f t="shared" si="3"/>
        <v>99.32873949579832</v>
      </c>
    </row>
    <row r="215" spans="1:8" ht="24" outlineLevel="5">
      <c r="A215" s="72" t="str">
        <f>'Приложение 3'!A223</f>
        <v>Подпрограмма " Профилактика безнадзорности , правонарушений и неблагополучия несовершеннолетних"</v>
      </c>
      <c r="B215" s="37" t="str">
        <f>'Приложение 3'!C223</f>
        <v>0707</v>
      </c>
      <c r="C215" s="37" t="str">
        <f>'Приложение 3'!D223</f>
        <v>07</v>
      </c>
      <c r="D215" s="37">
        <f>'Приложение 3'!E223</f>
        <v>3</v>
      </c>
      <c r="E215" s="37"/>
      <c r="F215" s="36">
        <f>'Приложение 3'!G223</f>
        <v>55</v>
      </c>
      <c r="G215" s="36">
        <f>'Приложение 3'!H223</f>
        <v>51.8915</v>
      </c>
      <c r="H215" s="93">
        <f t="shared" si="3"/>
        <v>94.34818181818181</v>
      </c>
    </row>
    <row r="216" spans="1:8" ht="24" customHeight="1" outlineLevel="5">
      <c r="A216" s="72" t="str">
        <f>'Приложение 3'!A224</f>
        <v>Закупка товаров, работ и услуг для государственных (муниципальных) нужд</v>
      </c>
      <c r="B216" s="37" t="str">
        <f>'Приложение 3'!C224</f>
        <v>0707</v>
      </c>
      <c r="C216" s="37" t="str">
        <f>'Приложение 3'!D224</f>
        <v>07</v>
      </c>
      <c r="D216" s="37">
        <f>'Приложение 3'!E224</f>
        <v>3</v>
      </c>
      <c r="E216" s="37"/>
      <c r="F216" s="36">
        <f>'Приложение 3'!G224</f>
        <v>39.1085</v>
      </c>
      <c r="G216" s="36">
        <f>'Приложение 3'!H224</f>
        <v>38</v>
      </c>
      <c r="H216" s="93">
        <f t="shared" si="3"/>
        <v>97.16557781556439</v>
      </c>
    </row>
    <row r="217" spans="1:8" ht="24" customHeight="1" outlineLevel="5">
      <c r="A217" s="72" t="str">
        <f>'Приложение 3'!A225</f>
        <v>Закупка товаров, работ и услуг для государственных (муниципальных) нужд</v>
      </c>
      <c r="B217" s="37" t="str">
        <f>'Приложение 3'!C225</f>
        <v>0707</v>
      </c>
      <c r="C217" s="37" t="str">
        <f>'Приложение 3'!D225</f>
        <v>07</v>
      </c>
      <c r="D217" s="37">
        <f>'Приложение 3'!E225</f>
        <v>3</v>
      </c>
      <c r="E217" s="37"/>
      <c r="F217" s="36">
        <f>'Приложение 3'!G225</f>
        <v>2</v>
      </c>
      <c r="G217" s="36">
        <f>'Приложение 3'!H225</f>
        <v>0</v>
      </c>
      <c r="H217" s="93">
        <f t="shared" si="3"/>
        <v>0</v>
      </c>
    </row>
    <row r="218" spans="1:8" ht="24" customHeight="1" outlineLevel="5">
      <c r="A218" s="72" t="str">
        <f>'Приложение 3'!A226</f>
        <v>Социальное обеспечение и иные выплаты населению</v>
      </c>
      <c r="B218" s="37" t="str">
        <f>'Приложение 3'!C226</f>
        <v>0707</v>
      </c>
      <c r="C218" s="37" t="str">
        <f>'Приложение 3'!D226</f>
        <v>07</v>
      </c>
      <c r="D218" s="37">
        <f>'Приложение 3'!E226</f>
        <v>3</v>
      </c>
      <c r="E218" s="37"/>
      <c r="F218" s="36">
        <f>'Приложение 3'!G226</f>
        <v>13.8915</v>
      </c>
      <c r="G218" s="36">
        <f>'Приложение 3'!H226</f>
        <v>13.8915</v>
      </c>
      <c r="H218" s="93">
        <f t="shared" si="3"/>
        <v>100</v>
      </c>
    </row>
    <row r="219" spans="1:8" ht="36" outlineLevel="5">
      <c r="A219" s="72" t="str">
        <f>'Приложение 3'!A227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219" s="37" t="str">
        <f>'Приложение 3'!C227</f>
        <v>0707</v>
      </c>
      <c r="C219" s="37" t="str">
        <f>'Приложение 3'!D227</f>
        <v>10</v>
      </c>
      <c r="D219" s="37">
        <f>'Приложение 3'!E227</f>
        <v>0</v>
      </c>
      <c r="E219" s="37"/>
      <c r="F219" s="36">
        <f>'Приложение 3'!G227</f>
        <v>297.62368</v>
      </c>
      <c r="G219" s="36">
        <f>'Приложение 3'!H227</f>
        <v>297.62368</v>
      </c>
      <c r="H219" s="93">
        <f t="shared" si="3"/>
        <v>100</v>
      </c>
    </row>
    <row r="220" spans="1:8" ht="27" customHeight="1" outlineLevel="5">
      <c r="A220" s="72" t="str">
        <f>'Приложение 3'!A228</f>
        <v>Закупка товаров, работ и услуг для государственных (муниципальных) нужд</v>
      </c>
      <c r="B220" s="37" t="str">
        <f>'Приложение 3'!C228</f>
        <v>0707</v>
      </c>
      <c r="C220" s="37" t="str">
        <f>'Приложение 3'!D228</f>
        <v>10</v>
      </c>
      <c r="D220" s="37">
        <f>'Приложение 3'!E228</f>
        <v>0</v>
      </c>
      <c r="E220" s="37"/>
      <c r="F220" s="36">
        <f>'Приложение 3'!G228</f>
        <v>0</v>
      </c>
      <c r="G220" s="36">
        <f>'Приложение 3'!H228</f>
        <v>0</v>
      </c>
      <c r="H220" s="93" t="e">
        <f t="shared" si="3"/>
        <v>#DIV/0!</v>
      </c>
    </row>
    <row r="221" spans="1:8" ht="27" customHeight="1" outlineLevel="5">
      <c r="A221" s="72" t="str">
        <f>'Приложение 3'!A229</f>
        <v>Предоставление субсидий бюджетным, автономным учреждениям и иным некоммерческим организациям</v>
      </c>
      <c r="B221" s="37" t="str">
        <f>'Приложение 3'!C229</f>
        <v>0707</v>
      </c>
      <c r="C221" s="37" t="str">
        <f>'Приложение 3'!D229</f>
        <v>10</v>
      </c>
      <c r="D221" s="37">
        <f>'Приложение 3'!E229</f>
        <v>0</v>
      </c>
      <c r="E221" s="37"/>
      <c r="F221" s="36">
        <f>'Приложение 3'!G229</f>
        <v>297.62368</v>
      </c>
      <c r="G221" s="36">
        <f>'Приложение 3'!H229</f>
        <v>297.62368</v>
      </c>
      <c r="H221" s="93">
        <f t="shared" si="3"/>
        <v>100</v>
      </c>
    </row>
    <row r="222" spans="1:8" ht="36" outlineLevel="5">
      <c r="A222" s="72" t="str">
        <f>'Приложение 3'!A230</f>
        <v>Ведомственная целевая программа "Молодежная политика  на территории Алексеевского муниципального района на 2016-2018 годы" (СДЦ)</v>
      </c>
      <c r="B222" s="37" t="str">
        <f>'Приложение 3'!C230</f>
        <v>0707</v>
      </c>
      <c r="C222" s="37" t="str">
        <f>'Приложение 3'!D230</f>
        <v>56</v>
      </c>
      <c r="D222" s="37">
        <f>'Приложение 3'!E230</f>
        <v>0</v>
      </c>
      <c r="E222" s="37"/>
      <c r="F222" s="36">
        <f>'Приложение 3'!G230</f>
        <v>3567.5</v>
      </c>
      <c r="G222" s="36">
        <f>'Приложение 3'!H230</f>
        <v>2943.85397</v>
      </c>
      <c r="H222" s="93">
        <f t="shared" si="3"/>
        <v>82.51868170988087</v>
      </c>
    </row>
    <row r="223" spans="1:8" ht="31.5" customHeight="1" outlineLevel="5">
      <c r="A223" s="72" t="str">
        <f>'Приложение 3'!A231</f>
        <v>Предоставление субсидий бюджетным, автономным учреждениям и иным некоммерческим организациям</v>
      </c>
      <c r="B223" s="37" t="str">
        <f>'Приложение 3'!C231</f>
        <v>0707</v>
      </c>
      <c r="C223" s="37" t="str">
        <f>'Приложение 3'!D231</f>
        <v>56</v>
      </c>
      <c r="D223" s="37">
        <f>'Приложение 3'!E231</f>
        <v>0</v>
      </c>
      <c r="E223" s="37">
        <f>'Приложение 3'!F231</f>
        <v>600</v>
      </c>
      <c r="F223" s="36">
        <f>'Приложение 3'!G231</f>
        <v>3567.5</v>
      </c>
      <c r="G223" s="36">
        <f>'Приложение 3'!H231</f>
        <v>2943.85397</v>
      </c>
      <c r="H223" s="93">
        <f t="shared" si="3"/>
        <v>82.51868170988087</v>
      </c>
    </row>
    <row r="224" spans="1:8" ht="48" outlineLevel="5">
      <c r="A224" s="72" t="str">
        <f>'Приложение 3'!A232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24" s="37" t="str">
        <f>'Приложение 3'!C232</f>
        <v>0707</v>
      </c>
      <c r="C224" s="37" t="str">
        <f>'Приложение 3'!D232</f>
        <v>57</v>
      </c>
      <c r="D224" s="37">
        <f>'Приложение 3'!E232</f>
        <v>0</v>
      </c>
      <c r="E224" s="37"/>
      <c r="F224" s="36">
        <f>'Приложение 3'!G232</f>
        <v>1650</v>
      </c>
      <c r="G224" s="36">
        <f>'Приложение 3'!H232</f>
        <v>1513.2602</v>
      </c>
      <c r="H224" s="93">
        <f t="shared" si="3"/>
        <v>91.71273939393939</v>
      </c>
    </row>
    <row r="225" spans="1:8" ht="33" customHeight="1" outlineLevel="5">
      <c r="A225" s="72" t="str">
        <f>'Приложение 3'!A233</f>
        <v>Предоставление субсидий бюджетным, автономным учреждениям и иным некоммерческим организациям</v>
      </c>
      <c r="B225" s="37" t="str">
        <f>'Приложение 3'!C233</f>
        <v>0707</v>
      </c>
      <c r="C225" s="37" t="str">
        <f>'Приложение 3'!D233</f>
        <v>57</v>
      </c>
      <c r="D225" s="37">
        <f>'Приложение 3'!E233</f>
        <v>0</v>
      </c>
      <c r="E225" s="37">
        <f>'Приложение 3'!F233</f>
        <v>600</v>
      </c>
      <c r="F225" s="36">
        <f>'Приложение 3'!G233</f>
        <v>1650</v>
      </c>
      <c r="G225" s="36">
        <f>'Приложение 3'!H233</f>
        <v>1513.2602</v>
      </c>
      <c r="H225" s="93">
        <f t="shared" si="3"/>
        <v>91.71273939393939</v>
      </c>
    </row>
    <row r="226" spans="1:8" ht="42" customHeight="1" outlineLevel="5">
      <c r="A226" s="72" t="str">
        <f>'Приложение 3'!A234</f>
        <v>Субсидия на обеспечение полномочий органов местного самоуправления Волгоградской области по организации отдыха детей в каникулярное время</v>
      </c>
      <c r="B226" s="37" t="str">
        <f>'Приложение 3'!C234</f>
        <v>0707</v>
      </c>
      <c r="C226" s="37" t="str">
        <f>'Приложение 3'!D234</f>
        <v>57</v>
      </c>
      <c r="D226" s="37">
        <f>'Приложение 3'!E234</f>
        <v>0</v>
      </c>
      <c r="E226" s="37">
        <f>'Приложение 3'!F234</f>
        <v>600</v>
      </c>
      <c r="F226" s="36">
        <f>'Приложение 3'!G234</f>
        <v>0</v>
      </c>
      <c r="G226" s="36">
        <f>'Приложение 3'!H234</f>
        <v>0</v>
      </c>
      <c r="H226" s="93" t="e">
        <f t="shared" si="3"/>
        <v>#DIV/0!</v>
      </c>
    </row>
    <row r="227" spans="1:8" ht="18" customHeight="1" outlineLevel="5">
      <c r="A227" s="72" t="str">
        <f>'Приложение 3'!A235</f>
        <v>Организация отдыха детей в лагерях дневного пребывания</v>
      </c>
      <c r="B227" s="37" t="str">
        <f>'Приложение 3'!C235</f>
        <v>0707</v>
      </c>
      <c r="C227" s="37" t="str">
        <f>'Приложение 3'!D235</f>
        <v>99</v>
      </c>
      <c r="D227" s="37"/>
      <c r="E227" s="37"/>
      <c r="F227" s="36">
        <f>'Приложение 3'!G235</f>
        <v>1428.9450000000002</v>
      </c>
      <c r="G227" s="36">
        <f>'Приложение 3'!H235</f>
        <v>897.26445</v>
      </c>
      <c r="H227" s="93">
        <f t="shared" si="3"/>
        <v>62.792091368107236</v>
      </c>
    </row>
    <row r="228" spans="1:8" ht="29.25" customHeight="1" outlineLevel="5">
      <c r="A228" s="72" t="str">
        <f>'Приложение 3'!A236</f>
        <v>Непрограммные расходы органов местного самоуправления Алексеевского муниципального района</v>
      </c>
      <c r="B228" s="37" t="str">
        <f>'Приложение 3'!C236</f>
        <v>0707</v>
      </c>
      <c r="C228" s="37" t="str">
        <f>'Приложение 3'!D236</f>
        <v>99</v>
      </c>
      <c r="D228" s="37"/>
      <c r="E228" s="37"/>
      <c r="F228" s="36">
        <f>'Приложение 3'!G236</f>
        <v>1428.9450000000002</v>
      </c>
      <c r="G228" s="36">
        <f>'Приложение 3'!H236</f>
        <v>897.26445</v>
      </c>
      <c r="H228" s="93">
        <f t="shared" si="3"/>
        <v>62.792091368107236</v>
      </c>
    </row>
    <row r="229" spans="1:8" ht="39.75" customHeight="1" outlineLevel="5">
      <c r="A229" s="72" t="str">
        <f>'Приложение 3'!A237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29" s="37" t="str">
        <f>'Приложение 3'!C237</f>
        <v>0707</v>
      </c>
      <c r="C229" s="37" t="str">
        <f>'Приложение 3'!D237</f>
        <v>99</v>
      </c>
      <c r="D229" s="37">
        <f>'Приложение 3'!E237</f>
        <v>0</v>
      </c>
      <c r="E229" s="37">
        <f>'Приложение 3'!F237</f>
        <v>600</v>
      </c>
      <c r="F229" s="36">
        <f>'Приложение 3'!G237</f>
        <v>1360.9</v>
      </c>
      <c r="G229" s="36">
        <f>'Приложение 3'!H237</f>
        <v>897.26445</v>
      </c>
      <c r="H229" s="93">
        <f t="shared" si="3"/>
        <v>65.9316959365126</v>
      </c>
    </row>
    <row r="230" spans="1:8" ht="31.5" customHeight="1" outlineLevel="5">
      <c r="A230" s="72" t="str">
        <f>'Приложение 3'!A238</f>
        <v>Предоставление субсидий бюджетным, автономным учреждениям и иным некоммерческим организациям</v>
      </c>
      <c r="B230" s="37" t="str">
        <f>'Приложение 3'!C238</f>
        <v>0707</v>
      </c>
      <c r="C230" s="37" t="str">
        <f>'Приложение 3'!D238</f>
        <v>99</v>
      </c>
      <c r="D230" s="37">
        <f>'Приложение 3'!E238</f>
        <v>0</v>
      </c>
      <c r="E230" s="37">
        <f>'Приложение 3'!F238</f>
        <v>600</v>
      </c>
      <c r="F230" s="36">
        <f>'Приложение 3'!G238</f>
        <v>68.045</v>
      </c>
      <c r="G230" s="36">
        <f>'Приложение 3'!H238</f>
        <v>0</v>
      </c>
      <c r="H230" s="93">
        <f t="shared" si="3"/>
        <v>0</v>
      </c>
    </row>
    <row r="231" spans="1:8" ht="12.75" outlineLevel="5">
      <c r="A231" s="72" t="str">
        <f>'Приложение 3'!A239</f>
        <v>Другие вопросы в области образования</v>
      </c>
      <c r="B231" s="37" t="str">
        <f>'Приложение 3'!C239</f>
        <v>0709</v>
      </c>
      <c r="C231" s="37"/>
      <c r="D231" s="37"/>
      <c r="E231" s="37"/>
      <c r="F231" s="36">
        <f>'Приложение 3'!G239</f>
        <v>650</v>
      </c>
      <c r="G231" s="36">
        <f>'Приложение 3'!H239</f>
        <v>532.8680400000001</v>
      </c>
      <c r="H231" s="93">
        <f t="shared" si="3"/>
        <v>81.97969846153848</v>
      </c>
    </row>
    <row r="232" spans="1:8" ht="64.5" customHeight="1" outlineLevel="5">
      <c r="A232" s="72" t="str">
        <f>'Приложение 3'!A240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232" s="37" t="str">
        <f>'Приложение 3'!C240</f>
        <v>0709</v>
      </c>
      <c r="C232" s="37" t="str">
        <f>'Приложение 3'!D240</f>
        <v>08</v>
      </c>
      <c r="D232" s="37">
        <f>'Приложение 3'!E240</f>
        <v>0</v>
      </c>
      <c r="E232" s="37"/>
      <c r="F232" s="36">
        <f>'Приложение 3'!G240</f>
        <v>25</v>
      </c>
      <c r="G232" s="36">
        <f>'Приложение 3'!H240</f>
        <v>0</v>
      </c>
      <c r="H232" s="93">
        <f t="shared" si="3"/>
        <v>0</v>
      </c>
    </row>
    <row r="233" spans="1:8" ht="19.5" customHeight="1" outlineLevel="5">
      <c r="A233" s="72" t="str">
        <f>'Приложение 3'!A241</f>
        <v>Социальное обеспечение и иные выплаты населению</v>
      </c>
      <c r="B233" s="37" t="str">
        <f>'Приложение 3'!C241</f>
        <v>0709</v>
      </c>
      <c r="C233" s="37" t="str">
        <f>'Приложение 3'!D241</f>
        <v>08</v>
      </c>
      <c r="D233" s="37">
        <f>'Приложение 3'!E241</f>
        <v>0</v>
      </c>
      <c r="E233" s="37" t="s">
        <v>285</v>
      </c>
      <c r="F233" s="36">
        <f>'Приложение 3'!G241</f>
        <v>25</v>
      </c>
      <c r="G233" s="36">
        <f>'Приложение 3'!H241</f>
        <v>0</v>
      </c>
      <c r="H233" s="93">
        <f t="shared" si="3"/>
        <v>0</v>
      </c>
    </row>
    <row r="234" spans="1:8" ht="48" outlineLevel="5">
      <c r="A234" s="72" t="str">
        <f>'Приложение 3'!A242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34" s="37" t="str">
        <f>'Приложение 3'!C242</f>
        <v>0709</v>
      </c>
      <c r="C234" s="37" t="str">
        <f>'Приложение 3'!D242</f>
        <v>58</v>
      </c>
      <c r="D234" s="37">
        <f>'Приложение 3'!E242</f>
        <v>0</v>
      </c>
      <c r="E234" s="37"/>
      <c r="F234" s="36">
        <f>'Приложение 3'!G242</f>
        <v>625</v>
      </c>
      <c r="G234" s="36">
        <f>'Приложение 3'!H242</f>
        <v>532.8680400000001</v>
      </c>
      <c r="H234" s="93">
        <f t="shared" si="3"/>
        <v>85.25888640000001</v>
      </c>
    </row>
    <row r="235" spans="1:8" ht="48" outlineLevel="2">
      <c r="A235" s="72" t="str">
        <f>'Приложение 3'!A243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5" s="37" t="str">
        <f>'Приложение 3'!C243</f>
        <v>0709</v>
      </c>
      <c r="C235" s="37" t="str">
        <f>'Приложение 3'!D243</f>
        <v>58</v>
      </c>
      <c r="D235" s="37">
        <f>'Приложение 3'!E243</f>
        <v>0</v>
      </c>
      <c r="E235" s="37">
        <f>'Приложение 3'!F243</f>
        <v>100</v>
      </c>
      <c r="F235" s="36">
        <f>'Приложение 3'!G243</f>
        <v>565</v>
      </c>
      <c r="G235" s="36">
        <f>'Приложение 3'!H243</f>
        <v>479.35976</v>
      </c>
      <c r="H235" s="93">
        <f t="shared" si="3"/>
        <v>84.8424353982301</v>
      </c>
    </row>
    <row r="236" spans="1:8" ht="24" outlineLevel="3">
      <c r="A236" s="72" t="str">
        <f>'Приложение 3'!A244</f>
        <v>Закупка товаров, работ и услуг для государственных (муниципальных) нужд</v>
      </c>
      <c r="B236" s="37" t="str">
        <f>'Приложение 3'!C244</f>
        <v>0709</v>
      </c>
      <c r="C236" s="37" t="str">
        <f>'Приложение 3'!D244</f>
        <v>58</v>
      </c>
      <c r="D236" s="37">
        <f>'Приложение 3'!E244</f>
        <v>0</v>
      </c>
      <c r="E236" s="37">
        <f>'Приложение 3'!F244</f>
        <v>200</v>
      </c>
      <c r="F236" s="36">
        <f>'Приложение 3'!G244</f>
        <v>59.8</v>
      </c>
      <c r="G236" s="36">
        <f>'Приложение 3'!H244</f>
        <v>53.5</v>
      </c>
      <c r="H236" s="93">
        <f t="shared" si="3"/>
        <v>89.46488294314382</v>
      </c>
    </row>
    <row r="237" spans="1:8" ht="12.75" outlineLevel="3">
      <c r="A237" s="72" t="str">
        <f>'Приложение 3'!A245</f>
        <v>Иные бюджетные ассигнования</v>
      </c>
      <c r="B237" s="37" t="str">
        <f>'Приложение 3'!C245</f>
        <v>0709</v>
      </c>
      <c r="C237" s="37" t="str">
        <f>'Приложение 3'!D245</f>
        <v>58</v>
      </c>
      <c r="D237" s="37">
        <f>'Приложение 3'!E245</f>
        <v>0</v>
      </c>
      <c r="E237" s="37">
        <f>'Приложение 3'!F245</f>
        <v>800</v>
      </c>
      <c r="F237" s="36">
        <f>'Приложение 3'!G245</f>
        <v>0.2</v>
      </c>
      <c r="G237" s="36">
        <f>'Приложение 3'!H245</f>
        <v>0.00828</v>
      </c>
      <c r="H237" s="93">
        <f t="shared" si="3"/>
        <v>4.139999999999999</v>
      </c>
    </row>
    <row r="238" spans="1:8" ht="15" customHeight="1" outlineLevel="3">
      <c r="A238" s="72" t="str">
        <f>'Приложение 3'!A246</f>
        <v>Культура, кинематография </v>
      </c>
      <c r="B238" s="37" t="str">
        <f>'Приложение 3'!C246</f>
        <v>0800</v>
      </c>
      <c r="C238" s="37"/>
      <c r="D238" s="37"/>
      <c r="E238" s="37"/>
      <c r="F238" s="36">
        <f>'Приложение 3'!G246</f>
        <v>17330.702</v>
      </c>
      <c r="G238" s="36">
        <f>'Приложение 3'!H246</f>
        <v>10854.28324</v>
      </c>
      <c r="H238" s="93">
        <f t="shared" si="3"/>
        <v>62.630372618489424</v>
      </c>
    </row>
    <row r="239" spans="1:8" ht="15" customHeight="1" outlineLevel="3">
      <c r="A239" s="72" t="str">
        <f>'Приложение 3'!A247</f>
        <v>Культура</v>
      </c>
      <c r="B239" s="37" t="str">
        <f>'Приложение 3'!C247</f>
        <v>0801</v>
      </c>
      <c r="C239" s="37"/>
      <c r="D239" s="37"/>
      <c r="E239" s="37"/>
      <c r="F239" s="36">
        <f>'Приложение 3'!G247</f>
        <v>16175.702000000001</v>
      </c>
      <c r="G239" s="36">
        <f>'Приложение 3'!H247</f>
        <v>9924.4612</v>
      </c>
      <c r="H239" s="93">
        <f t="shared" si="3"/>
        <v>61.35412979294499</v>
      </c>
    </row>
    <row r="240" spans="1:8" ht="42" customHeight="1" outlineLevel="3">
      <c r="A240" s="72" t="str">
        <f>'Приложение 3'!A248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240" s="37" t="str">
        <f>'Приложение 3'!C248</f>
        <v>0801</v>
      </c>
      <c r="C240" s="37" t="str">
        <f>'Приложение 3'!D248</f>
        <v>02</v>
      </c>
      <c r="D240" s="37">
        <f>'Приложение 3'!E248</f>
        <v>0</v>
      </c>
      <c r="E240" s="37"/>
      <c r="F240" s="36">
        <f>'Приложение 3'!G248</f>
        <v>3368.532</v>
      </c>
      <c r="G240" s="36">
        <f>'Приложение 3'!H248</f>
        <v>0</v>
      </c>
      <c r="H240" s="93">
        <f t="shared" si="3"/>
        <v>0</v>
      </c>
    </row>
    <row r="241" spans="1:8" ht="33" customHeight="1" outlineLevel="3">
      <c r="A241" s="72" t="str">
        <f>'Приложение 3'!A249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41" s="37" t="str">
        <f>'Приложение 3'!C249</f>
        <v>0801</v>
      </c>
      <c r="C241" s="37" t="str">
        <f>'Приложение 3'!D249</f>
        <v>02</v>
      </c>
      <c r="D241" s="37">
        <f>'Приложение 3'!E249</f>
        <v>3</v>
      </c>
      <c r="E241" s="37"/>
      <c r="F241" s="36">
        <f>'Приложение 3'!G249</f>
        <v>3368.532</v>
      </c>
      <c r="G241" s="36">
        <f>'Приложение 3'!H249</f>
        <v>0</v>
      </c>
      <c r="H241" s="93">
        <f t="shared" si="3"/>
        <v>0</v>
      </c>
    </row>
    <row r="242" spans="1:8" ht="27.75" customHeight="1" outlineLevel="3">
      <c r="A242" s="72" t="str">
        <f>'Приложение 3'!A250</f>
        <v>Предоставление субсидий бюджетным, автономным учреждениям и иным некоммерческим организациям</v>
      </c>
      <c r="B242" s="37" t="str">
        <f>'Приложение 3'!C250</f>
        <v>0801</v>
      </c>
      <c r="C242" s="37" t="str">
        <f>'Приложение 3'!D250</f>
        <v>02</v>
      </c>
      <c r="D242" s="37">
        <f>'Приложение 3'!E250</f>
        <v>3</v>
      </c>
      <c r="E242" s="37">
        <f>'Приложение 3'!F250</f>
        <v>600</v>
      </c>
      <c r="F242" s="36">
        <f>'Приложение 3'!G250</f>
        <v>3368.532</v>
      </c>
      <c r="G242" s="36">
        <f>'Приложение 3'!H250</f>
        <v>0</v>
      </c>
      <c r="H242" s="93">
        <f t="shared" si="3"/>
        <v>0</v>
      </c>
    </row>
    <row r="243" spans="1:8" ht="27.75" customHeight="1" outlineLevel="3">
      <c r="A243" s="72" t="str">
        <f>'Приложение 3'!A251</f>
        <v>Муниципальная программа  "Развитие культуры и искусства в Алексеевском муниципальном районе на 2017-2019 годы"</v>
      </c>
      <c r="B243" s="37" t="str">
        <f>'Приложение 3'!C251</f>
        <v>0801</v>
      </c>
      <c r="C243" s="37" t="str">
        <f>'Приложение 3'!D251</f>
        <v>06</v>
      </c>
      <c r="D243" s="37">
        <f>'Приложение 3'!E251</f>
        <v>0</v>
      </c>
      <c r="E243" s="37"/>
      <c r="F243" s="36">
        <f>'Приложение 3'!G251</f>
        <v>1388.67</v>
      </c>
      <c r="G243" s="36">
        <f>'Приложение 3'!H251</f>
        <v>1038.67</v>
      </c>
      <c r="H243" s="93">
        <f t="shared" si="3"/>
        <v>74.79602785398978</v>
      </c>
    </row>
    <row r="244" spans="1:8" ht="27.75" customHeight="1" outlineLevel="3">
      <c r="A244" s="72" t="str">
        <f>'Приложение 3'!A252</f>
        <v>Предоставление субсидий бюджетным, автономным учреждениям и иным некоммерческим организациям</v>
      </c>
      <c r="B244" s="37" t="str">
        <f>'Приложение 3'!C252</f>
        <v>0801</v>
      </c>
      <c r="C244" s="37" t="str">
        <f>'Приложение 3'!D252</f>
        <v>06</v>
      </c>
      <c r="D244" s="37">
        <f>'Приложение 3'!E252</f>
        <v>0</v>
      </c>
      <c r="E244" s="37">
        <f>'Приложение 3'!F252</f>
        <v>600</v>
      </c>
      <c r="F244" s="36">
        <f>'Приложение 3'!G252</f>
        <v>23.82</v>
      </c>
      <c r="G244" s="36">
        <f>'Приложение 3'!H252</f>
        <v>0</v>
      </c>
      <c r="H244" s="93">
        <f t="shared" si="3"/>
        <v>0</v>
      </c>
    </row>
    <row r="245" spans="1:8" ht="37.5" customHeight="1" outlineLevel="3">
      <c r="A245" s="72" t="str">
        <f>'Приложение 3'!A254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245" s="37" t="str">
        <f>'Приложение 3'!C254</f>
        <v>0801</v>
      </c>
      <c r="C245" s="37" t="str">
        <f>'Приложение 3'!D254</f>
        <v>06</v>
      </c>
      <c r="D245" s="37">
        <f>'Приложение 3'!E254</f>
        <v>0</v>
      </c>
      <c r="E245" s="37">
        <f>'Приложение 3'!F254</f>
        <v>600</v>
      </c>
      <c r="F245" s="36">
        <f>'Приложение 3'!G254</f>
        <v>476.18</v>
      </c>
      <c r="G245" s="36">
        <f>'Приложение 3'!H254</f>
        <v>150</v>
      </c>
      <c r="H245" s="93">
        <f t="shared" si="3"/>
        <v>31.500693015246334</v>
      </c>
    </row>
    <row r="246" spans="1:8" ht="16.5" customHeight="1" outlineLevel="3">
      <c r="A246" s="72" t="str">
        <f>'Приложение 3'!A255</f>
        <v>Межбюджетные трансферты</v>
      </c>
      <c r="B246" s="37" t="str">
        <f>'Приложение 3'!C255</f>
        <v>0801</v>
      </c>
      <c r="C246" s="37" t="str">
        <f>'Приложение 3'!D255</f>
        <v>06</v>
      </c>
      <c r="D246" s="37">
        <f>'Приложение 3'!E255</f>
        <v>0</v>
      </c>
      <c r="E246" s="37">
        <f>'Приложение 3'!F255</f>
        <v>500</v>
      </c>
      <c r="F246" s="36">
        <f>'Приложение 3'!G255</f>
        <v>846.36</v>
      </c>
      <c r="G246" s="36">
        <f>'Приложение 3'!H255</f>
        <v>846.36</v>
      </c>
      <c r="H246" s="93">
        <f t="shared" si="3"/>
        <v>100</v>
      </c>
    </row>
    <row r="247" spans="1:8" ht="35.25" customHeight="1" outlineLevel="3">
      <c r="A247" s="72" t="str">
        <f>'Приложение 3'!A256</f>
        <v>Муниципальная программа  «Развитие народных художественных промыслов Алексеевского  муниципального района на 2016-2018 годы»</v>
      </c>
      <c r="B247" s="37" t="str">
        <f>'Приложение 3'!C256</f>
        <v>0801</v>
      </c>
      <c r="C247" s="37" t="str">
        <f>'Приложение 3'!D256</f>
        <v>12</v>
      </c>
      <c r="D247" s="37">
        <f>'Приложение 3'!E256</f>
        <v>0</v>
      </c>
      <c r="E247" s="37"/>
      <c r="F247" s="36">
        <f>'Приложение 3'!G256</f>
        <v>100</v>
      </c>
      <c r="G247" s="36">
        <f>'Приложение 3'!H256</f>
        <v>26.58</v>
      </c>
      <c r="H247" s="93">
        <f t="shared" si="3"/>
        <v>26.58</v>
      </c>
    </row>
    <row r="248" spans="1:8" ht="27" customHeight="1" outlineLevel="3">
      <c r="A248" s="72" t="str">
        <f>'Приложение 3'!A257</f>
        <v>Предоставление субсидий бюджетным, автономным учреждениям и иным некоммерческим организациям</v>
      </c>
      <c r="B248" s="37" t="str">
        <f>'Приложение 3'!C257</f>
        <v>0801</v>
      </c>
      <c r="C248" s="37" t="str">
        <f>'Приложение 3'!D257</f>
        <v>12</v>
      </c>
      <c r="D248" s="37">
        <f>'Приложение 3'!E257</f>
        <v>0</v>
      </c>
      <c r="E248" s="37">
        <f>'Приложение 3'!F257</f>
        <v>600</v>
      </c>
      <c r="F248" s="36">
        <f>'Приложение 3'!G257</f>
        <v>100</v>
      </c>
      <c r="G248" s="36">
        <f>'Приложение 3'!H257</f>
        <v>26.58</v>
      </c>
      <c r="H248" s="93">
        <f t="shared" si="3"/>
        <v>26.58</v>
      </c>
    </row>
    <row r="249" spans="1:8" ht="38.25" customHeight="1" outlineLevel="3">
      <c r="A249" s="72" t="str">
        <f>'Приложение 3'!A258</f>
        <v>Муниципальная программа "О поддержке деятельности казачьих обществ  Алексеевского муниципального района на 2016-2018 годы"</v>
      </c>
      <c r="B249" s="37" t="str">
        <f>'Приложение 3'!C258</f>
        <v>0801</v>
      </c>
      <c r="C249" s="37" t="str">
        <f>'Приложение 3'!D258</f>
        <v>13</v>
      </c>
      <c r="D249" s="37">
        <f>'Приложение 3'!E258</f>
        <v>0</v>
      </c>
      <c r="E249" s="37"/>
      <c r="F249" s="36">
        <f>'Приложение 3'!G258</f>
        <v>150</v>
      </c>
      <c r="G249" s="36">
        <f>'Приложение 3'!H258</f>
        <v>76.6716</v>
      </c>
      <c r="H249" s="93">
        <f t="shared" si="3"/>
        <v>51.114399999999996</v>
      </c>
    </row>
    <row r="250" spans="1:8" ht="26.25" customHeight="1" outlineLevel="3">
      <c r="A250" s="72" t="str">
        <f>'Приложение 3'!A259</f>
        <v>Предоставление субсидий бюджетным, автономным учреждениям и иным некоммерческим организациям</v>
      </c>
      <c r="B250" s="37" t="str">
        <f>'Приложение 3'!C259</f>
        <v>0801</v>
      </c>
      <c r="C250" s="37" t="str">
        <f>'Приложение 3'!D259</f>
        <v>13</v>
      </c>
      <c r="D250" s="37">
        <f>'Приложение 3'!E259</f>
        <v>0</v>
      </c>
      <c r="E250" s="37">
        <f>'Приложение 3'!F259</f>
        <v>600</v>
      </c>
      <c r="F250" s="36">
        <f>'Приложение 3'!G259</f>
        <v>150</v>
      </c>
      <c r="G250" s="36">
        <f>'Приложение 3'!H259</f>
        <v>76.6716</v>
      </c>
      <c r="H250" s="93">
        <f t="shared" si="3"/>
        <v>51.114399999999996</v>
      </c>
    </row>
    <row r="251" spans="1:8" ht="36" customHeight="1" outlineLevel="3">
      <c r="A251" s="72" t="str">
        <f>'Приложение 3'!A260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251" s="37" t="str">
        <f>'Приложение 3'!C260</f>
        <v>0801</v>
      </c>
      <c r="C251" s="37" t="str">
        <f>'Приложение 3'!D260</f>
        <v>16</v>
      </c>
      <c r="D251" s="37">
        <f>'Приложение 3'!E260</f>
        <v>0</v>
      </c>
      <c r="E251" s="37"/>
      <c r="F251" s="36">
        <f>'Приложение 3'!G260</f>
        <v>150.5</v>
      </c>
      <c r="G251" s="36">
        <f>'Приложение 3'!H260</f>
        <v>73.026</v>
      </c>
      <c r="H251" s="93">
        <f t="shared" si="3"/>
        <v>48.52225913621262</v>
      </c>
    </row>
    <row r="252" spans="1:8" ht="27" customHeight="1" outlineLevel="3">
      <c r="A252" s="72" t="str">
        <f>'Приложение 3'!A261</f>
        <v>Предоставление субсидий бюджетным, автономным учреждениям и иным некоммерческим организациям</v>
      </c>
      <c r="B252" s="37" t="str">
        <f>'Приложение 3'!C261</f>
        <v>0801</v>
      </c>
      <c r="C252" s="37" t="str">
        <f>'Приложение 3'!D261</f>
        <v>16</v>
      </c>
      <c r="D252" s="37">
        <f>'Приложение 3'!E261</f>
        <v>0</v>
      </c>
      <c r="E252" s="37">
        <f>'Приложение 3'!F261</f>
        <v>600</v>
      </c>
      <c r="F252" s="36">
        <f>'Приложение 3'!G261</f>
        <v>150.5</v>
      </c>
      <c r="G252" s="36">
        <f>'Приложение 3'!H261</f>
        <v>73.026</v>
      </c>
      <c r="H252" s="93">
        <f t="shared" si="3"/>
        <v>48.52225913621262</v>
      </c>
    </row>
    <row r="253" spans="1:8" ht="33.75" customHeight="1" outlineLevel="3">
      <c r="A253" s="72" t="str">
        <f>'Приложение 3'!A262</f>
        <v>Ведомственная целевая программа "Развитие культуры и искусства в Алексеевском муниципальном районе на 2016-2018 годы"</v>
      </c>
      <c r="B253" s="37" t="str">
        <f>'Приложение 3'!C262</f>
        <v>0800</v>
      </c>
      <c r="C253" s="37" t="str">
        <f>'Приложение 3'!D262</f>
        <v>59</v>
      </c>
      <c r="D253" s="37">
        <f>'Приложение 3'!E262</f>
        <v>0</v>
      </c>
      <c r="E253" s="37"/>
      <c r="F253" s="36">
        <f>'Приложение 3'!G262</f>
        <v>12173</v>
      </c>
      <c r="G253" s="36">
        <f>'Приложение 3'!H262</f>
        <v>9639.335640000001</v>
      </c>
      <c r="H253" s="93">
        <f t="shared" si="3"/>
        <v>79.18619600755773</v>
      </c>
    </row>
    <row r="254" spans="1:8" ht="15" customHeight="1" outlineLevel="3">
      <c r="A254" s="72" t="str">
        <f>'Приложение 3'!A263</f>
        <v>Дворцы и дома культуры, другие учреждения культуры</v>
      </c>
      <c r="B254" s="37" t="str">
        <f>'Приложение 3'!C263</f>
        <v>0801</v>
      </c>
      <c r="C254" s="37" t="str">
        <f>'Приложение 3'!D263</f>
        <v>59</v>
      </c>
      <c r="D254" s="37">
        <f>'Приложение 3'!E263</f>
        <v>0</v>
      </c>
      <c r="E254" s="37"/>
      <c r="F254" s="36">
        <f>'Приложение 3'!G263</f>
        <v>9087</v>
      </c>
      <c r="G254" s="36">
        <f>'Приложение 3'!H263</f>
        <v>7496.27255</v>
      </c>
      <c r="H254" s="93">
        <f t="shared" si="3"/>
        <v>82.49447067238911</v>
      </c>
    </row>
    <row r="255" spans="1:8" ht="24" customHeight="1" outlineLevel="1">
      <c r="A255" s="72" t="str">
        <f>'Приложение 3'!A264</f>
        <v>Предоставление субсидий бюджетным, автономным учреждениям и иным некоммерческим организациям</v>
      </c>
      <c r="B255" s="37" t="str">
        <f>'Приложение 3'!C264</f>
        <v>0801</v>
      </c>
      <c r="C255" s="37" t="str">
        <f>'Приложение 3'!D264</f>
        <v>59</v>
      </c>
      <c r="D255" s="37">
        <f>'Приложение 3'!E264</f>
        <v>0</v>
      </c>
      <c r="E255" s="37">
        <f>'Приложение 3'!F264</f>
        <v>600</v>
      </c>
      <c r="F255" s="36">
        <f>'Приложение 3'!G264</f>
        <v>9087</v>
      </c>
      <c r="G255" s="36">
        <f>'Приложение 3'!H264</f>
        <v>7496.27255</v>
      </c>
      <c r="H255" s="93">
        <f t="shared" si="3"/>
        <v>82.49447067238911</v>
      </c>
    </row>
    <row r="256" spans="1:8" ht="26.25" customHeight="1" outlineLevel="2">
      <c r="A256" s="72" t="str">
        <f>'Приложение 3'!A265</f>
        <v>За счет средств на расходы на осуществление социальных гарантий молодым специалистам</v>
      </c>
      <c r="B256" s="37" t="str">
        <f>'Приложение 3'!C265</f>
        <v>0801</v>
      </c>
      <c r="C256" s="37" t="str">
        <f>'Приложение 3'!D265</f>
        <v>59</v>
      </c>
      <c r="D256" s="37">
        <f>'Приложение 3'!E265</f>
        <v>0</v>
      </c>
      <c r="E256" s="37">
        <f>'Приложение 3'!F265</f>
        <v>600</v>
      </c>
      <c r="F256" s="36">
        <f>'Приложение 3'!G265</f>
        <v>0</v>
      </c>
      <c r="G256" s="36">
        <f>'Приложение 3'!H265</f>
        <v>0</v>
      </c>
      <c r="H256" s="93" t="e">
        <f t="shared" si="3"/>
        <v>#DIV/0!</v>
      </c>
    </row>
    <row r="257" spans="1:8" ht="16.5" customHeight="1" outlineLevel="3">
      <c r="A257" s="72" t="str">
        <f>'Приложение 3'!A266</f>
        <v>Музей</v>
      </c>
      <c r="B257" s="37" t="str">
        <f>'Приложение 3'!C266</f>
        <v>0801</v>
      </c>
      <c r="C257" s="37" t="str">
        <f>'Приложение 3'!D266</f>
        <v>59</v>
      </c>
      <c r="D257" s="37">
        <f>'Приложение 3'!E266</f>
        <v>0</v>
      </c>
      <c r="E257" s="37"/>
      <c r="F257" s="36">
        <f>'Приложение 3'!G266</f>
        <v>862</v>
      </c>
      <c r="G257" s="36">
        <f>'Приложение 3'!H266</f>
        <v>483.14963</v>
      </c>
      <c r="H257" s="93">
        <f t="shared" si="3"/>
        <v>56.04984106728538</v>
      </c>
    </row>
    <row r="258" spans="1:8" ht="24" customHeight="1" outlineLevel="3">
      <c r="A258" s="72" t="str">
        <f>'Приложение 3'!A267</f>
        <v>Предоставление субсидий бюджетным, автономным учреждениям и иным некоммерческим организациям</v>
      </c>
      <c r="B258" s="37" t="str">
        <f>'Приложение 3'!C267</f>
        <v>0801</v>
      </c>
      <c r="C258" s="37" t="str">
        <f>'Приложение 3'!D267</f>
        <v>59</v>
      </c>
      <c r="D258" s="37">
        <f>'Приложение 3'!E267</f>
        <v>0</v>
      </c>
      <c r="E258" s="37">
        <f>'Приложение 3'!F267</f>
        <v>600</v>
      </c>
      <c r="F258" s="36">
        <f>'Приложение 3'!G267</f>
        <v>862</v>
      </c>
      <c r="G258" s="36">
        <f>'Приложение 3'!H267</f>
        <v>483.14963</v>
      </c>
      <c r="H258" s="93">
        <f t="shared" si="3"/>
        <v>56.04984106728538</v>
      </c>
    </row>
    <row r="259" spans="1:8" ht="14.25" customHeight="1" outlineLevel="3">
      <c r="A259" s="72" t="str">
        <f>'Приложение 3'!A268</f>
        <v>Библиотеки</v>
      </c>
      <c r="B259" s="37" t="str">
        <f>'Приложение 3'!C268</f>
        <v>0801</v>
      </c>
      <c r="C259" s="37" t="str">
        <f>'Приложение 3'!D268</f>
        <v>59</v>
      </c>
      <c r="D259" s="37">
        <f>'Приложение 3'!E268</f>
        <v>0</v>
      </c>
      <c r="E259" s="37"/>
      <c r="F259" s="36">
        <f>'Приложение 3'!G268</f>
        <v>1069</v>
      </c>
      <c r="G259" s="36">
        <f>'Приложение 3'!H268</f>
        <v>730.09142</v>
      </c>
      <c r="H259" s="93">
        <f t="shared" si="3"/>
        <v>68.29667165575304</v>
      </c>
    </row>
    <row r="260" spans="1:8" ht="31.5" customHeight="1" outlineLevel="3">
      <c r="A260" s="72" t="str">
        <f>'Приложение 3'!A269</f>
        <v>Предоставление субсидий бюджетным, автономным учреждениям и иным некоммерческим организациям</v>
      </c>
      <c r="B260" s="37" t="str">
        <f>'Приложение 3'!C269</f>
        <v>0801</v>
      </c>
      <c r="C260" s="37" t="str">
        <f>'Приложение 3'!D269</f>
        <v>59</v>
      </c>
      <c r="D260" s="37">
        <f>'Приложение 3'!E269</f>
        <v>0</v>
      </c>
      <c r="E260" s="37">
        <f>'Приложение 3'!F269</f>
        <v>600</v>
      </c>
      <c r="F260" s="36">
        <f>'Приложение 3'!G269</f>
        <v>1069</v>
      </c>
      <c r="G260" s="36">
        <f>'Приложение 3'!H269</f>
        <v>730.09142</v>
      </c>
      <c r="H260" s="93">
        <f t="shared" si="3"/>
        <v>68.29667165575304</v>
      </c>
    </row>
    <row r="261" spans="1:8" ht="28.5" customHeight="1" outlineLevel="1">
      <c r="A261" s="72" t="str">
        <f>'Приложение 3'!A270</f>
        <v>Мероприятия по комплектованию книжных фондов библиотек муниципальных образований</v>
      </c>
      <c r="B261" s="37" t="str">
        <f>'Приложение 3'!C270</f>
        <v>0801</v>
      </c>
      <c r="C261" s="37" t="str">
        <f>'Приложение 3'!D270</f>
        <v>59</v>
      </c>
      <c r="D261" s="37">
        <f>'Приложение 3'!E270</f>
        <v>0</v>
      </c>
      <c r="E261" s="37"/>
      <c r="F261" s="36">
        <f>'Приложение 3'!G270</f>
        <v>0</v>
      </c>
      <c r="G261" s="36">
        <f>'Приложение 3'!H270</f>
        <v>0</v>
      </c>
      <c r="H261" s="93" t="e">
        <f t="shared" si="3"/>
        <v>#DIV/0!</v>
      </c>
    </row>
    <row r="262" spans="1:8" ht="48" outlineLevel="3">
      <c r="A262" s="72" t="str">
        <f>'Приложение 3'!A271</f>
        <v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v>
      </c>
      <c r="B262" s="37" t="str">
        <f>'Приложение 3'!C271</f>
        <v>0801</v>
      </c>
      <c r="C262" s="37" t="str">
        <f>'Приложение 3'!D271</f>
        <v>59</v>
      </c>
      <c r="D262" s="37">
        <f>'Приложение 3'!E271</f>
        <v>0</v>
      </c>
      <c r="E262" s="37">
        <f>'Приложение 3'!F271</f>
        <v>600</v>
      </c>
      <c r="F262" s="36">
        <f>'Приложение 3'!G271</f>
        <v>0</v>
      </c>
      <c r="G262" s="36">
        <f>'Приложение 3'!H271</f>
        <v>0</v>
      </c>
      <c r="H262" s="93" t="e">
        <f t="shared" si="3"/>
        <v>#DIV/0!</v>
      </c>
    </row>
    <row r="263" spans="1:8" ht="16.5" customHeight="1" outlineLevel="3">
      <c r="A263" s="72" t="str">
        <f>'Приложение 3'!A272</f>
        <v>Кинематография</v>
      </c>
      <c r="B263" s="37" t="str">
        <f>'Приложение 3'!C272</f>
        <v>0802</v>
      </c>
      <c r="C263" s="37" t="str">
        <f>'Приложение 3'!D272</f>
        <v>59</v>
      </c>
      <c r="D263" s="37">
        <f>'Приложение 3'!E272</f>
        <v>0</v>
      </c>
      <c r="E263" s="37"/>
      <c r="F263" s="36">
        <f>'Приложение 3'!G272</f>
        <v>309</v>
      </c>
      <c r="G263" s="36">
        <f>'Приложение 3'!H272</f>
        <v>179.37</v>
      </c>
      <c r="H263" s="93">
        <f t="shared" si="3"/>
        <v>58.04854368932039</v>
      </c>
    </row>
    <row r="264" spans="1:8" ht="27" customHeight="1" outlineLevel="1">
      <c r="A264" s="72" t="str">
        <f>'Приложение 3'!A273</f>
        <v>Предоставление субсидий бюджетным, автономным учреждениям и иным некоммерческим организациям</v>
      </c>
      <c r="B264" s="37" t="str">
        <f>'Приложение 3'!C273</f>
        <v>0802</v>
      </c>
      <c r="C264" s="37" t="str">
        <f>'Приложение 3'!D273</f>
        <v>59</v>
      </c>
      <c r="D264" s="37">
        <f>'Приложение 3'!E273</f>
        <v>0</v>
      </c>
      <c r="E264" s="37">
        <f>'Приложение 3'!F273</f>
        <v>600</v>
      </c>
      <c r="F264" s="36">
        <f>'Приложение 3'!G273</f>
        <v>309</v>
      </c>
      <c r="G264" s="36">
        <f>'Приложение 3'!H273</f>
        <v>179.37</v>
      </c>
      <c r="H264" s="93">
        <f t="shared" si="3"/>
        <v>58.04854368932039</v>
      </c>
    </row>
    <row r="265" spans="1:8" ht="12" customHeight="1" outlineLevel="3">
      <c r="A265" s="72" t="str">
        <f>'Приложение 3'!A274</f>
        <v>Другие вопросы в области культуры, кинематографии </v>
      </c>
      <c r="B265" s="37" t="str">
        <f>'Приложение 3'!C274</f>
        <v>0804</v>
      </c>
      <c r="C265" s="37" t="str">
        <f>'Приложение 3'!D274</f>
        <v>59</v>
      </c>
      <c r="D265" s="37">
        <f>'Приложение 3'!E274</f>
        <v>0</v>
      </c>
      <c r="E265" s="37"/>
      <c r="F265" s="36">
        <f>'Приложение 3'!G274</f>
        <v>846</v>
      </c>
      <c r="G265" s="36">
        <f>'Приложение 3'!H274</f>
        <v>750.45204</v>
      </c>
      <c r="H265" s="93">
        <f t="shared" si="3"/>
        <v>88.70591489361702</v>
      </c>
    </row>
    <row r="266" spans="1:8" ht="26.25" customHeight="1" outlineLevel="3">
      <c r="A266" s="72" t="str">
        <f>'Приложение 3'!A275</f>
        <v>Предоставление субсидий бюджетным, автономным учреждениям и иным некоммерческим организациям</v>
      </c>
      <c r="B266" s="37" t="str">
        <f>'Приложение 3'!C275</f>
        <v>0804</v>
      </c>
      <c r="C266" s="37" t="str">
        <f>'Приложение 3'!D275</f>
        <v>59</v>
      </c>
      <c r="D266" s="37">
        <f>'Приложение 3'!E275</f>
        <v>0</v>
      </c>
      <c r="E266" s="37">
        <f>'Приложение 3'!F275</f>
        <v>600</v>
      </c>
      <c r="F266" s="36">
        <f>'Приложение 3'!G275</f>
        <v>846</v>
      </c>
      <c r="G266" s="36">
        <f>'Приложение 3'!H275</f>
        <v>750.45204</v>
      </c>
      <c r="H266" s="93">
        <f aca="true" t="shared" si="4" ref="H266:H320">SUM(G266/F266)*100</f>
        <v>88.70591489361702</v>
      </c>
    </row>
    <row r="267" spans="1:8" ht="15.75" customHeight="1" outlineLevel="3">
      <c r="A267" s="72" t="str">
        <f>'Приложение 3'!A276</f>
        <v>Здравоохранение</v>
      </c>
      <c r="B267" s="37" t="str">
        <f>'Приложение 3'!C276</f>
        <v>0900</v>
      </c>
      <c r="C267" s="37"/>
      <c r="D267" s="37"/>
      <c r="E267" s="37"/>
      <c r="F267" s="36">
        <f>'Приложение 3'!G276</f>
        <v>5600</v>
      </c>
      <c r="G267" s="36">
        <f>'Приложение 3'!H276</f>
        <v>0</v>
      </c>
      <c r="H267" s="93">
        <f t="shared" si="4"/>
        <v>0</v>
      </c>
    </row>
    <row r="268" spans="1:8" ht="17.25" customHeight="1" outlineLevel="3">
      <c r="A268" s="72" t="str">
        <f>'Приложение 3'!A277</f>
        <v>Амбулаторная помощь</v>
      </c>
      <c r="B268" s="37" t="str">
        <f>'Приложение 3'!C277</f>
        <v>0902</v>
      </c>
      <c r="C268" s="37"/>
      <c r="D268" s="37"/>
      <c r="E268" s="37"/>
      <c r="F268" s="36">
        <f>'Приложение 3'!G277</f>
        <v>5600</v>
      </c>
      <c r="G268" s="36">
        <f>'Приложение 3'!H277</f>
        <v>0</v>
      </c>
      <c r="H268" s="93">
        <f t="shared" si="4"/>
        <v>0</v>
      </c>
    </row>
    <row r="269" spans="1:8" ht="30" customHeight="1" outlineLevel="3">
      <c r="A269" s="72" t="str">
        <f>'Приложение 3'!A278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269" s="37" t="str">
        <f>'Приложение 3'!C278</f>
        <v>0902</v>
      </c>
      <c r="C269" s="37" t="str">
        <f>'Приложение 3'!D278</f>
        <v>02</v>
      </c>
      <c r="D269" s="37">
        <f>'Приложение 3'!E278</f>
        <v>0</v>
      </c>
      <c r="E269" s="37"/>
      <c r="F269" s="36">
        <f>'Приложение 3'!G278</f>
        <v>5600</v>
      </c>
      <c r="G269" s="36">
        <f>'Приложение 3'!H278</f>
        <v>0</v>
      </c>
      <c r="H269" s="93">
        <f t="shared" si="4"/>
        <v>0</v>
      </c>
    </row>
    <row r="270" spans="1:8" ht="26.25" customHeight="1" outlineLevel="3">
      <c r="A270" s="72" t="str">
        <f>'Приложение 3'!A279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37" t="str">
        <f>'Приложение 3'!C279</f>
        <v>0902</v>
      </c>
      <c r="C270" s="37" t="str">
        <f>'Приложение 3'!D279</f>
        <v>02</v>
      </c>
      <c r="D270" s="37">
        <f>'Приложение 3'!E279</f>
        <v>3</v>
      </c>
      <c r="E270" s="37"/>
      <c r="F270" s="36">
        <f>'Приложение 3'!G279</f>
        <v>5600</v>
      </c>
      <c r="G270" s="36">
        <f>'Приложение 3'!H279</f>
        <v>0</v>
      </c>
      <c r="H270" s="93">
        <f t="shared" si="4"/>
        <v>0</v>
      </c>
    </row>
    <row r="271" spans="1:8" ht="26.25" customHeight="1" outlineLevel="3">
      <c r="A271" s="72" t="str">
        <f>'Приложение 3'!A280</f>
        <v>Капитальные вложения в объекты государственной (муниципальной) собственности</v>
      </c>
      <c r="B271" s="37" t="str">
        <f>'Приложение 3'!C280</f>
        <v>0902</v>
      </c>
      <c r="C271" s="37" t="str">
        <f>'Приложение 3'!D280</f>
        <v>02</v>
      </c>
      <c r="D271" s="37">
        <f>'Приложение 3'!E280</f>
        <v>3</v>
      </c>
      <c r="E271" s="37">
        <f>'Приложение 3'!F280</f>
        <v>400</v>
      </c>
      <c r="F271" s="36">
        <f>'Приложение 3'!G280</f>
        <v>5600</v>
      </c>
      <c r="G271" s="36">
        <f>'Приложение 3'!H280</f>
        <v>0</v>
      </c>
      <c r="H271" s="93">
        <f t="shared" si="4"/>
        <v>0</v>
      </c>
    </row>
    <row r="272" spans="1:8" ht="16.5" customHeight="1">
      <c r="A272" s="72" t="str">
        <f>'Приложение 3'!A281</f>
        <v>Социальная политика</v>
      </c>
      <c r="B272" s="37" t="str">
        <f>'Приложение 3'!C281</f>
        <v>1000</v>
      </c>
      <c r="C272" s="37"/>
      <c r="D272" s="37"/>
      <c r="E272" s="37"/>
      <c r="F272" s="36">
        <f>'Приложение 3'!G281</f>
        <v>20912.548</v>
      </c>
      <c r="G272" s="36">
        <f>'Приложение 3'!H281</f>
        <v>16680.500340000002</v>
      </c>
      <c r="H272" s="93">
        <f t="shared" si="4"/>
        <v>79.76311800934063</v>
      </c>
    </row>
    <row r="273" spans="1:8" s="16" customFormat="1" ht="27.75" customHeight="1" outlineLevel="2">
      <c r="A273" s="72" t="str">
        <f>'Приложение 3'!A282</f>
        <v>Доплаты к пенсии государственных служащих субъектов Российской Федерации и муниципальных служащих</v>
      </c>
      <c r="B273" s="37" t="str">
        <f>'Приложение 3'!C282</f>
        <v>1001</v>
      </c>
      <c r="C273" s="37"/>
      <c r="D273" s="37"/>
      <c r="E273" s="37"/>
      <c r="F273" s="36">
        <f>'Приложение 3'!G282</f>
        <v>2200</v>
      </c>
      <c r="G273" s="36">
        <f>'Приложение 3'!H282</f>
        <v>1877.59198</v>
      </c>
      <c r="H273" s="93">
        <f t="shared" si="4"/>
        <v>85.34509</v>
      </c>
    </row>
    <row r="274" spans="1:8" s="16" customFormat="1" ht="30" customHeight="1" outlineLevel="2">
      <c r="A274" s="72" t="str">
        <f>'Приложение 3'!A283</f>
        <v>Непрограммные расходы органов местного самоуправления Алексеевского муниципального района</v>
      </c>
      <c r="B274" s="37" t="str">
        <f>'Приложение 3'!C283</f>
        <v>1001</v>
      </c>
      <c r="C274" s="37" t="str">
        <f>'Приложение 3'!D283</f>
        <v>99</v>
      </c>
      <c r="D274" s="37">
        <f>'Приложение 3'!E283</f>
        <v>0</v>
      </c>
      <c r="E274" s="37"/>
      <c r="F274" s="36">
        <f>'Приложение 3'!G283</f>
        <v>2200</v>
      </c>
      <c r="G274" s="36">
        <f>'Приложение 3'!H283</f>
        <v>1877.59198</v>
      </c>
      <c r="H274" s="93">
        <f t="shared" si="4"/>
        <v>85.34509</v>
      </c>
    </row>
    <row r="275" spans="1:8" s="16" customFormat="1" ht="15.75" customHeight="1" outlineLevel="2">
      <c r="A275" s="72" t="str">
        <f>'Приложение 3'!A284</f>
        <v>Социальное обеспечение и иные выплаты населению</v>
      </c>
      <c r="B275" s="37" t="str">
        <f>'Приложение 3'!C284</f>
        <v>1001</v>
      </c>
      <c r="C275" s="37" t="str">
        <f>'Приложение 3'!D284</f>
        <v>99</v>
      </c>
      <c r="D275" s="37">
        <f>'Приложение 3'!E284</f>
        <v>0</v>
      </c>
      <c r="E275" s="37">
        <f>'Приложение 3'!F284</f>
        <v>300</v>
      </c>
      <c r="F275" s="36">
        <f>'Приложение 3'!G284</f>
        <v>2200</v>
      </c>
      <c r="G275" s="36">
        <f>'Приложение 3'!H284</f>
        <v>1877.59198</v>
      </c>
      <c r="H275" s="93">
        <f t="shared" si="4"/>
        <v>85.34509</v>
      </c>
    </row>
    <row r="276" spans="1:8" ht="15" customHeight="1" outlineLevel="3">
      <c r="A276" s="72" t="str">
        <f>'Приложение 3'!A285</f>
        <v>Социальное обеспечение населения</v>
      </c>
      <c r="B276" s="37" t="str">
        <f>'Приложение 3'!C285</f>
        <v>1003</v>
      </c>
      <c r="C276" s="37"/>
      <c r="D276" s="37"/>
      <c r="E276" s="37"/>
      <c r="F276" s="36">
        <f>'Приложение 3'!G285</f>
        <v>13309.447999999999</v>
      </c>
      <c r="G276" s="36">
        <f>'Приложение 3'!H285</f>
        <v>10544.066310000002</v>
      </c>
      <c r="H276" s="93">
        <f t="shared" si="4"/>
        <v>79.22241636167033</v>
      </c>
    </row>
    <row r="277" spans="1:8" s="16" customFormat="1" ht="72" outlineLevel="2">
      <c r="A277" s="72" t="str">
        <f>'Приложение 3'!A286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277" s="37" t="str">
        <f>'Приложение 3'!C286</f>
        <v>1003</v>
      </c>
      <c r="C277" s="37" t="str">
        <f>'Приложение 3'!D286</f>
        <v>14</v>
      </c>
      <c r="D277" s="37">
        <f>'Приложение 3'!E286</f>
        <v>0</v>
      </c>
      <c r="E277" s="37"/>
      <c r="F277" s="36">
        <f>'Приложение 3'!G286</f>
        <v>500</v>
      </c>
      <c r="G277" s="36">
        <f>'Приложение 3'!H286</f>
        <v>290.097</v>
      </c>
      <c r="H277" s="93">
        <f t="shared" si="4"/>
        <v>58.0194</v>
      </c>
    </row>
    <row r="278" spans="1:8" s="16" customFormat="1" ht="19.5" customHeight="1" outlineLevel="2">
      <c r="A278" s="72" t="str">
        <f>'Приложение 3'!A287</f>
        <v>Социальное обеспечение и иные выплаты населению</v>
      </c>
      <c r="B278" s="37" t="str">
        <f>'Приложение 3'!C287</f>
        <v>1003</v>
      </c>
      <c r="C278" s="37" t="str">
        <f>'Приложение 3'!D287</f>
        <v>14</v>
      </c>
      <c r="D278" s="37">
        <f>'Приложение 3'!E287</f>
        <v>0</v>
      </c>
      <c r="E278" s="37">
        <f>'Приложение 3'!F287</f>
        <v>300</v>
      </c>
      <c r="F278" s="36">
        <f>'Приложение 3'!G287</f>
        <v>500</v>
      </c>
      <c r="G278" s="36">
        <f>'Приложение 3'!H287</f>
        <v>290.097</v>
      </c>
      <c r="H278" s="93">
        <f t="shared" si="4"/>
        <v>58.0194</v>
      </c>
    </row>
    <row r="279" spans="1:8" s="16" customFormat="1" ht="29.25" customHeight="1" outlineLevel="2">
      <c r="A279" s="72" t="str">
        <f>'Приложение 3'!A288</f>
        <v>Непрограммные расходы органов местного самоуправления Алексеевского муниципального района</v>
      </c>
      <c r="B279" s="37" t="str">
        <f>'Приложение 3'!C288</f>
        <v>1003</v>
      </c>
      <c r="C279" s="37" t="str">
        <f>'Приложение 3'!D288</f>
        <v>99</v>
      </c>
      <c r="D279" s="37">
        <f>'Приложение 3'!E288</f>
        <v>0</v>
      </c>
      <c r="E279" s="37"/>
      <c r="F279" s="36">
        <f>'Приложение 3'!G288</f>
        <v>12809.447999999999</v>
      </c>
      <c r="G279" s="36">
        <f>'Приложение 3'!H288</f>
        <v>10253.969310000002</v>
      </c>
      <c r="H279" s="93">
        <f t="shared" si="4"/>
        <v>80.05004829247913</v>
      </c>
    </row>
    <row r="280" spans="1:8" ht="96" outlineLevel="3">
      <c r="A280" s="72" t="str">
        <f>'Приложение 3'!A289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37" t="str">
        <f>'Приложение 3'!C289</f>
        <v>1003</v>
      </c>
      <c r="C280" s="37" t="str">
        <f>'Приложение 3'!D289</f>
        <v>99</v>
      </c>
      <c r="D280" s="37">
        <f>'Приложение 3'!E289</f>
        <v>0</v>
      </c>
      <c r="E280" s="37"/>
      <c r="F280" s="36">
        <f>'Приложение 3'!G289</f>
        <v>8262.047999999999</v>
      </c>
      <c r="G280" s="36">
        <f>'Приложение 3'!H289</f>
        <v>7421.94861</v>
      </c>
      <c r="H280" s="93">
        <f t="shared" si="4"/>
        <v>89.83182632199669</v>
      </c>
    </row>
    <row r="281" spans="1:8" ht="22.5" customHeight="1" outlineLevel="1">
      <c r="A281" s="72" t="str">
        <f>'Приложение 3'!A290</f>
        <v>Социальное обеспечение и иные выплаты населению</v>
      </c>
      <c r="B281" s="37" t="str">
        <f>'Приложение 3'!C290</f>
        <v>1003</v>
      </c>
      <c r="C281" s="37" t="str">
        <f>'Приложение 3'!D290</f>
        <v>99</v>
      </c>
      <c r="D281" s="37">
        <f>'Приложение 3'!E290</f>
        <v>0</v>
      </c>
      <c r="E281" s="37">
        <f>'Приложение 3'!F290</f>
        <v>300</v>
      </c>
      <c r="F281" s="36">
        <f>'Приложение 3'!G290</f>
        <v>7127.308999999999</v>
      </c>
      <c r="G281" s="36">
        <f>'Приложение 3'!H290</f>
        <v>6804.93435</v>
      </c>
      <c r="H281" s="93">
        <f t="shared" si="4"/>
        <v>95.47690930756617</v>
      </c>
    </row>
    <row r="282" spans="1:8" ht="48" outlineLevel="3">
      <c r="A282" s="72" t="str">
        <f>'Приложение 3'!A291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2" s="37" t="str">
        <f>'Приложение 3'!C291</f>
        <v>1003</v>
      </c>
      <c r="C282" s="37" t="str">
        <f>'Приложение 3'!D291</f>
        <v>99</v>
      </c>
      <c r="D282" s="37">
        <f>'Приложение 3'!E291</f>
        <v>0</v>
      </c>
      <c r="E282" s="37">
        <f>'Приложение 3'!F291</f>
        <v>100</v>
      </c>
      <c r="F282" s="36">
        <f>'Приложение 3'!G291</f>
        <v>738.732</v>
      </c>
      <c r="G282" s="36">
        <f>'Приложение 3'!H291</f>
        <v>535.6912</v>
      </c>
      <c r="H282" s="93">
        <f t="shared" si="4"/>
        <v>72.514958063276</v>
      </c>
    </row>
    <row r="283" spans="1:8" ht="27" customHeight="1" outlineLevel="1">
      <c r="A283" s="72" t="str">
        <f>'Приложение 3'!A292</f>
        <v>Закупка товаров, работ и услуг для государственных (муниципальных) нужд</v>
      </c>
      <c r="B283" s="37" t="str">
        <f>'Приложение 3'!C292</f>
        <v>1003</v>
      </c>
      <c r="C283" s="37" t="str">
        <f>'Приложение 3'!D292</f>
        <v>99</v>
      </c>
      <c r="D283" s="37">
        <f>'Приложение 3'!E292</f>
        <v>0</v>
      </c>
      <c r="E283" s="37">
        <f>'Приложение 3'!F292</f>
        <v>200</v>
      </c>
      <c r="F283" s="36">
        <f>'Приложение 3'!G292</f>
        <v>396.00700000000006</v>
      </c>
      <c r="G283" s="36">
        <f>'Приложение 3'!H292</f>
        <v>81.32306</v>
      </c>
      <c r="H283" s="93">
        <f t="shared" si="4"/>
        <v>20.535763256710105</v>
      </c>
    </row>
    <row r="284" spans="1:8" ht="82.5" customHeight="1" outlineLevel="2">
      <c r="A284" s="72" t="str">
        <f>'Приложение 3'!A293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4" s="37" t="str">
        <f>'Приложение 3'!C293</f>
        <v>1003</v>
      </c>
      <c r="C284" s="37" t="str">
        <f>'Приложение 3'!D293</f>
        <v>99</v>
      </c>
      <c r="D284" s="37">
        <f>'Приложение 3'!E293</f>
        <v>0</v>
      </c>
      <c r="E284" s="37">
        <f>'Приложение 3'!F293</f>
        <v>300</v>
      </c>
      <c r="F284" s="36">
        <f>'Приложение 3'!G293</f>
        <v>1219.3000000000002</v>
      </c>
      <c r="G284" s="36">
        <f>'Приложение 3'!H293</f>
        <v>780.37717</v>
      </c>
      <c r="H284" s="93">
        <f t="shared" si="4"/>
        <v>64.00206429918805</v>
      </c>
    </row>
    <row r="285" spans="1:8" ht="75" customHeight="1" outlineLevel="3">
      <c r="A285" s="72" t="str">
        <f>'Приложение 3'!A294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5" s="37" t="str">
        <f>'Приложение 3'!C294</f>
        <v>1003</v>
      </c>
      <c r="C285" s="37" t="str">
        <f>'Приложение 3'!D294</f>
        <v>99</v>
      </c>
      <c r="D285" s="37">
        <f>'Приложение 3'!E294</f>
        <v>0</v>
      </c>
      <c r="E285" s="37">
        <f>'Приложение 3'!F294</f>
        <v>300</v>
      </c>
      <c r="F285" s="36">
        <f>'Приложение 3'!G294</f>
        <v>55.2</v>
      </c>
      <c r="G285" s="36">
        <f>'Приложение 3'!H294</f>
        <v>3.02078</v>
      </c>
      <c r="H285" s="93">
        <f t="shared" si="4"/>
        <v>5.4724275362318835</v>
      </c>
    </row>
    <row r="286" spans="1:8" ht="90" customHeight="1">
      <c r="A286" s="72" t="str">
        <f>'Приложение 3'!A295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6" s="37" t="str">
        <f>'Приложение 3'!C295</f>
        <v>1003</v>
      </c>
      <c r="C286" s="37" t="str">
        <f>'Приложение 3'!D295</f>
        <v>99</v>
      </c>
      <c r="D286" s="37">
        <f>'Приложение 3'!E295</f>
        <v>0</v>
      </c>
      <c r="E286" s="37">
        <f>'Приложение 3'!F295</f>
        <v>300</v>
      </c>
      <c r="F286" s="36">
        <f>'Приложение 3'!G295</f>
        <v>3272.9</v>
      </c>
      <c r="G286" s="36">
        <f>'Приложение 3'!H295</f>
        <v>2048.62275</v>
      </c>
      <c r="H286" s="93">
        <f t="shared" si="4"/>
        <v>62.59350270402395</v>
      </c>
    </row>
    <row r="287" spans="1:8" ht="12.75" outlineLevel="1">
      <c r="A287" s="72" t="str">
        <f>'Приложение 3'!A296</f>
        <v>Охрана семьи и детства</v>
      </c>
      <c r="B287" s="37" t="str">
        <f>'Приложение 3'!C296</f>
        <v>1004</v>
      </c>
      <c r="C287" s="37"/>
      <c r="D287" s="37"/>
      <c r="E287" s="37"/>
      <c r="F287" s="36">
        <f>'Приложение 3'!G296</f>
        <v>5403.1</v>
      </c>
      <c r="G287" s="36">
        <f>'Приложение 3'!H296</f>
        <v>4258.84205</v>
      </c>
      <c r="H287" s="93">
        <f t="shared" si="4"/>
        <v>78.82219559141974</v>
      </c>
    </row>
    <row r="288" spans="1:8" ht="27" customHeight="1" outlineLevel="1">
      <c r="A288" s="72" t="str">
        <f>'Приложение 3'!A297</f>
        <v>Непрограммные расходы органов местного самоуправления Алексеевского муниципального района</v>
      </c>
      <c r="B288" s="37" t="str">
        <f>'Приложение 3'!C297</f>
        <v>1004</v>
      </c>
      <c r="C288" s="37" t="str">
        <f>'Приложение 3'!D297</f>
        <v>99</v>
      </c>
      <c r="D288" s="37">
        <f>'Приложение 3'!E297</f>
        <v>0</v>
      </c>
      <c r="E288" s="37"/>
      <c r="F288" s="36">
        <f>'Приложение 3'!G297</f>
        <v>5403.1</v>
      </c>
      <c r="G288" s="36">
        <f>'Приложение 3'!H297</f>
        <v>4258.84205</v>
      </c>
      <c r="H288" s="93">
        <f t="shared" si="4"/>
        <v>78.82219559141974</v>
      </c>
    </row>
    <row r="289" spans="1:8" ht="144" outlineLevel="5">
      <c r="A289" s="72" t="str">
        <f>'Приложение 3'!A298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89" s="37" t="str">
        <f>'Приложение 3'!C298</f>
        <v>1004</v>
      </c>
      <c r="C289" s="37" t="str">
        <f>'Приложение 3'!D298</f>
        <v>99</v>
      </c>
      <c r="D289" s="37">
        <f>'Приложение 3'!E298</f>
        <v>0</v>
      </c>
      <c r="E289" s="37"/>
      <c r="F289" s="36">
        <f>'Приложение 3'!G298</f>
        <v>1084.9</v>
      </c>
      <c r="G289" s="36">
        <f>'Приложение 3'!H298</f>
        <v>452.14205</v>
      </c>
      <c r="H289" s="93">
        <f t="shared" si="4"/>
        <v>41.67591943957968</v>
      </c>
    </row>
    <row r="290" spans="1:8" ht="16.5" customHeight="1" outlineLevel="5">
      <c r="A290" s="72" t="str">
        <f>'Приложение 3'!A299</f>
        <v>Социальные выплаты</v>
      </c>
      <c r="B290" s="37" t="str">
        <f>'Приложение 3'!C299</f>
        <v>1004</v>
      </c>
      <c r="C290" s="37" t="str">
        <f>'Приложение 3'!D299</f>
        <v>99</v>
      </c>
      <c r="D290" s="37">
        <f>'Приложение 3'!E299</f>
        <v>0</v>
      </c>
      <c r="E290" s="37">
        <f>'Приложение 3'!F299</f>
        <v>300</v>
      </c>
      <c r="F290" s="36">
        <f>'Приложение 3'!G299</f>
        <v>1074.16</v>
      </c>
      <c r="G290" s="36">
        <f>'Приложение 3'!H299</f>
        <v>450.57872</v>
      </c>
      <c r="H290" s="93">
        <f t="shared" si="4"/>
        <v>41.94707678558129</v>
      </c>
    </row>
    <row r="291" spans="1:8" ht="27" customHeight="1" outlineLevel="2">
      <c r="A291" s="72" t="str">
        <f>'Приложение 3'!A300</f>
        <v>Закупка товаров, работ и услуг для государственных (муниципальных) нужд</v>
      </c>
      <c r="B291" s="37" t="str">
        <f>'Приложение 3'!C300</f>
        <v>1004</v>
      </c>
      <c r="C291" s="37" t="str">
        <f>'Приложение 3'!D300</f>
        <v>99</v>
      </c>
      <c r="D291" s="37">
        <f>'Приложение 3'!E300</f>
        <v>0</v>
      </c>
      <c r="E291" s="37">
        <f>'Приложение 3'!F300</f>
        <v>200</v>
      </c>
      <c r="F291" s="36">
        <f>'Приложение 3'!G300</f>
        <v>10.739999999999998</v>
      </c>
      <c r="G291" s="36">
        <f>'Приложение 3'!H300</f>
        <v>1.56333</v>
      </c>
      <c r="H291" s="93">
        <f t="shared" si="4"/>
        <v>14.556145251396652</v>
      </c>
    </row>
    <row r="292" spans="1:8" ht="118.5" customHeight="1" outlineLevel="3">
      <c r="A292" s="72" t="str">
        <f>'Приложение 3'!A301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2" s="37" t="str">
        <f>'Приложение 3'!C301</f>
        <v>1004</v>
      </c>
      <c r="C292" s="37" t="str">
        <f>'Приложение 3'!D301</f>
        <v>99</v>
      </c>
      <c r="D292" s="37">
        <f>'Приложение 3'!E301</f>
        <v>0</v>
      </c>
      <c r="E292" s="37"/>
      <c r="F292" s="36">
        <f>'Приложение 3'!G301</f>
        <v>4318.2</v>
      </c>
      <c r="G292" s="36">
        <f>'Приложение 3'!H301</f>
        <v>3806.7</v>
      </c>
      <c r="H292" s="93">
        <f t="shared" si="4"/>
        <v>88.15478671668751</v>
      </c>
    </row>
    <row r="293" spans="1:8" ht="12.75" outlineLevel="2">
      <c r="A293" s="72" t="str">
        <f>'Приложение 3'!A302</f>
        <v>на выплату пособий по опеке и попечительству</v>
      </c>
      <c r="B293" s="37" t="str">
        <f>'Приложение 3'!C302</f>
        <v>1004</v>
      </c>
      <c r="C293" s="37" t="str">
        <f>'Приложение 3'!D302</f>
        <v>99</v>
      </c>
      <c r="D293" s="37">
        <f>'Приложение 3'!E302</f>
        <v>0</v>
      </c>
      <c r="E293" s="37">
        <f>'Приложение 3'!F302</f>
        <v>300</v>
      </c>
      <c r="F293" s="36">
        <f>'Приложение 3'!G302</f>
        <v>3703.8</v>
      </c>
      <c r="G293" s="36">
        <f>'Приложение 3'!H302</f>
        <v>3258</v>
      </c>
      <c r="H293" s="93">
        <f t="shared" si="4"/>
        <v>87.96371294346346</v>
      </c>
    </row>
    <row r="294" spans="1:8" ht="41.25" customHeight="1" outlineLevel="3">
      <c r="A294" s="72" t="str">
        <f>'Приложение 3'!A303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4" s="37" t="str">
        <f>'Приложение 3'!C303</f>
        <v>1004</v>
      </c>
      <c r="C294" s="37" t="str">
        <f>'Приложение 3'!D303</f>
        <v>99</v>
      </c>
      <c r="D294" s="37">
        <f>'Приложение 3'!E303</f>
        <v>0</v>
      </c>
      <c r="E294" s="37">
        <f>'Приложение 3'!F303</f>
        <v>300</v>
      </c>
      <c r="F294" s="36">
        <f>'Приложение 3'!G303</f>
        <v>614.4</v>
      </c>
      <c r="G294" s="36">
        <f>'Приложение 3'!H303</f>
        <v>548.7</v>
      </c>
      <c r="H294" s="93">
        <f t="shared" si="4"/>
        <v>89.30664062500001</v>
      </c>
    </row>
    <row r="295" spans="1:8" ht="20.25" customHeight="1" outlineLevel="2">
      <c r="A295" s="72" t="str">
        <f>'Приложение 3'!A304</f>
        <v>Физическая культура и спорт</v>
      </c>
      <c r="B295" s="37" t="str">
        <f>'Приложение 3'!C304</f>
        <v>1100</v>
      </c>
      <c r="C295" s="37"/>
      <c r="D295" s="37"/>
      <c r="E295" s="37"/>
      <c r="F295" s="36">
        <f>'Приложение 3'!G304</f>
        <v>3739.66</v>
      </c>
      <c r="G295" s="36">
        <f>'Приложение 3'!H304</f>
        <v>1746.91973</v>
      </c>
      <c r="H295" s="93">
        <f t="shared" si="4"/>
        <v>46.7133303562356</v>
      </c>
    </row>
    <row r="296" spans="1:8" ht="14.25" customHeight="1" outlineLevel="2">
      <c r="A296" s="72" t="str">
        <f>'Приложение 3'!A305</f>
        <v>Физическая культура</v>
      </c>
      <c r="B296" s="37" t="str">
        <f>'Приложение 3'!C305</f>
        <v>1101</v>
      </c>
      <c r="C296" s="37"/>
      <c r="D296" s="37"/>
      <c r="E296" s="37"/>
      <c r="F296" s="36">
        <f>'Приложение 3'!G305</f>
        <v>3039.66</v>
      </c>
      <c r="G296" s="36">
        <f>'Приложение 3'!H305</f>
        <v>1116.68473</v>
      </c>
      <c r="H296" s="93">
        <f t="shared" si="4"/>
        <v>36.7371590901614</v>
      </c>
    </row>
    <row r="297" spans="1:8" ht="42.75" customHeight="1" outlineLevel="2">
      <c r="A297" s="72" t="str">
        <f>'Приложение 3'!A306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297" s="37" t="str">
        <f>'Приложение 3'!C306</f>
        <v>1101</v>
      </c>
      <c r="C297" s="37" t="str">
        <f>'Приложение 3'!D306</f>
        <v>02</v>
      </c>
      <c r="D297" s="37"/>
      <c r="E297" s="37"/>
      <c r="F297" s="36">
        <f>'Приложение 3'!G306</f>
        <v>3039.66</v>
      </c>
      <c r="G297" s="36">
        <f>'Приложение 3'!H306</f>
        <v>1116.68473</v>
      </c>
      <c r="H297" s="93">
        <f t="shared" si="4"/>
        <v>36.7371590901614</v>
      </c>
    </row>
    <row r="298" spans="1:8" ht="39" customHeight="1" outlineLevel="2">
      <c r="A298" s="72" t="str">
        <f>'Приложение 3'!A307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98" s="37" t="str">
        <f>'Приложение 3'!C307</f>
        <v>1101</v>
      </c>
      <c r="C298" s="37" t="str">
        <f>'Приложение 3'!D307</f>
        <v>02</v>
      </c>
      <c r="D298" s="37">
        <f>'Приложение 3'!E307</f>
        <v>3</v>
      </c>
      <c r="E298" s="37"/>
      <c r="F298" s="36">
        <f>'Приложение 3'!G307</f>
        <v>3039.66</v>
      </c>
      <c r="G298" s="36">
        <f>'Приложение 3'!H307</f>
        <v>1116.68473</v>
      </c>
      <c r="H298" s="93">
        <f t="shared" si="4"/>
        <v>36.7371590901614</v>
      </c>
    </row>
    <row r="299" spans="1:8" ht="38.25" customHeight="1" outlineLevel="2">
      <c r="A299" s="72" t="str">
        <f>'Приложение 3'!A308</f>
        <v>Капитальные вложения в объекты государственной (муниципальной) собственности (средства федерального бюджета)</v>
      </c>
      <c r="B299" s="37" t="str">
        <f>'Приложение 3'!C308</f>
        <v>1101</v>
      </c>
      <c r="C299" s="37" t="str">
        <f>'Приложение 3'!D308</f>
        <v>02</v>
      </c>
      <c r="D299" s="37">
        <f>'Приложение 3'!E308</f>
        <v>3</v>
      </c>
      <c r="E299" s="37">
        <f>'Приложение 3'!F308</f>
        <v>400</v>
      </c>
      <c r="F299" s="36">
        <f>'Приложение 3'!G308</f>
        <v>126.10064999999997</v>
      </c>
      <c r="G299" s="36">
        <f>'Приложение 3'!H308</f>
        <v>0</v>
      </c>
      <c r="H299" s="93">
        <f t="shared" si="4"/>
        <v>0</v>
      </c>
    </row>
    <row r="300" spans="1:8" ht="36.75" customHeight="1" outlineLevel="2">
      <c r="A300" s="72" t="str">
        <f>'Приложение 3'!A309</f>
        <v>Капитальные вложения в объекты государственной (муниципальной) собственности (средства областного бюджета)</v>
      </c>
      <c r="B300" s="37" t="str">
        <f>'Приложение 3'!C309</f>
        <v>1101</v>
      </c>
      <c r="C300" s="37" t="str">
        <f>'Приложение 3'!D309</f>
        <v>02</v>
      </c>
      <c r="D300" s="37">
        <f>'Приложение 3'!E309</f>
        <v>3</v>
      </c>
      <c r="E300" s="37">
        <f>'Приложение 3'!F309</f>
        <v>400</v>
      </c>
      <c r="F300" s="36">
        <f>'Приложение 3'!G309</f>
        <v>1568.70429</v>
      </c>
      <c r="G300" s="36">
        <f>'Приложение 3'!H309</f>
        <v>709.3544</v>
      </c>
      <c r="H300" s="93">
        <f t="shared" si="4"/>
        <v>45.21912794666993</v>
      </c>
    </row>
    <row r="301" spans="1:8" ht="28.5" customHeight="1" outlineLevel="2">
      <c r="A301" s="72" t="str">
        <f>'Приложение 3'!A310</f>
        <v>Капитальные вложения в объекты государственной (муниципальной) собственности (софинансирование)</v>
      </c>
      <c r="B301" s="37" t="str">
        <f>'Приложение 3'!C310</f>
        <v>1101</v>
      </c>
      <c r="C301" s="37" t="str">
        <f>'Приложение 3'!D310</f>
        <v>02</v>
      </c>
      <c r="D301" s="37">
        <f>'Приложение 3'!E310</f>
        <v>3</v>
      </c>
      <c r="E301" s="37">
        <f>'Приложение 3'!F310</f>
        <v>400</v>
      </c>
      <c r="F301" s="36">
        <f>'Приложение 3'!G310</f>
        <v>172.19054</v>
      </c>
      <c r="G301" s="36">
        <f>'Приложение 3'!H310</f>
        <v>55.531</v>
      </c>
      <c r="H301" s="93">
        <f t="shared" si="4"/>
        <v>32.24973915524047</v>
      </c>
    </row>
    <row r="302" spans="1:8" ht="25.5" customHeight="1" outlineLevel="2">
      <c r="A302" s="72" t="str">
        <f>'Приложение 3'!A311</f>
        <v>Предоставление субсидий бюджетным, автономным учреждениям и иным некоммерческим организациям</v>
      </c>
      <c r="B302" s="37" t="str">
        <f>'Приложение 3'!C311</f>
        <v>1101</v>
      </c>
      <c r="C302" s="37" t="str">
        <f>'Приложение 3'!D311</f>
        <v>02</v>
      </c>
      <c r="D302" s="37">
        <f>'Приложение 3'!E311</f>
        <v>3</v>
      </c>
      <c r="E302" s="37">
        <f>'Приложение 3'!F311</f>
        <v>600</v>
      </c>
      <c r="F302" s="36">
        <f>'Приложение 3'!G311</f>
        <v>1172.66452</v>
      </c>
      <c r="G302" s="36">
        <f>'Приложение 3'!H311</f>
        <v>351.79933</v>
      </c>
      <c r="H302" s="93">
        <f t="shared" si="4"/>
        <v>29.999997782827094</v>
      </c>
    </row>
    <row r="303" spans="1:8" ht="19.5" customHeight="1" outlineLevel="2">
      <c r="A303" s="72" t="str">
        <f>'Приложение 3'!A312</f>
        <v>Другие вопросы в области физической культуры и спорта</v>
      </c>
      <c r="B303" s="37" t="str">
        <f>'Приложение 3'!C312</f>
        <v>1105</v>
      </c>
      <c r="C303" s="37"/>
      <c r="D303" s="37"/>
      <c r="E303" s="37"/>
      <c r="F303" s="36">
        <f>'Приложение 3'!G312</f>
        <v>700</v>
      </c>
      <c r="G303" s="36">
        <f>'Приложение 3'!H312</f>
        <v>630.235</v>
      </c>
      <c r="H303" s="93">
        <f t="shared" si="4"/>
        <v>90.03357142857143</v>
      </c>
    </row>
    <row r="304" spans="1:8" ht="36" outlineLevel="3">
      <c r="A304" s="72" t="str">
        <f>'Приложение 3'!A313</f>
        <v>Муниципальная программа "Развитие физической культуры и спорта в Алексеевском муниципальном районе на 2016-2018 годы"</v>
      </c>
      <c r="B304" s="37" t="str">
        <f>'Приложение 3'!C313</f>
        <v>1105</v>
      </c>
      <c r="C304" s="37" t="str">
        <f>'Приложение 3'!D313</f>
        <v>17</v>
      </c>
      <c r="D304" s="37">
        <f>'Приложение 3'!E313</f>
        <v>0</v>
      </c>
      <c r="E304" s="37"/>
      <c r="F304" s="36">
        <f>'Приложение 3'!G313</f>
        <v>700</v>
      </c>
      <c r="G304" s="36">
        <f>'Приложение 3'!H313</f>
        <v>630.235</v>
      </c>
      <c r="H304" s="93">
        <f t="shared" si="4"/>
        <v>90.03357142857143</v>
      </c>
    </row>
    <row r="305" spans="1:8" ht="28.5" customHeight="1" outlineLevel="3">
      <c r="A305" s="72" t="str">
        <f>'Приложение 3'!A314</f>
        <v>Закупка товаров, работ и услуг для государственных (муниципальных) нужд</v>
      </c>
      <c r="B305" s="37" t="str">
        <f>'Приложение 3'!C314</f>
        <v>1105</v>
      </c>
      <c r="C305" s="37" t="str">
        <f>'Приложение 3'!D314</f>
        <v>17</v>
      </c>
      <c r="D305" s="37">
        <f>'Приложение 3'!E314</f>
        <v>0</v>
      </c>
      <c r="E305" s="37">
        <f>'Приложение 3'!F314</f>
        <v>200</v>
      </c>
      <c r="F305" s="36">
        <f>'Приложение 3'!G314</f>
        <v>700</v>
      </c>
      <c r="G305" s="36">
        <f>'Приложение 3'!H314</f>
        <v>630.235</v>
      </c>
      <c r="H305" s="93">
        <f t="shared" si="4"/>
        <v>90.03357142857143</v>
      </c>
    </row>
    <row r="306" spans="1:8" ht="16.5" customHeight="1" outlineLevel="3">
      <c r="A306" s="72" t="str">
        <f>'Приложение 3'!A315</f>
        <v>Средства массовой информации </v>
      </c>
      <c r="B306" s="37" t="str">
        <f>'Приложение 3'!C315</f>
        <v>1200</v>
      </c>
      <c r="C306" s="37"/>
      <c r="D306" s="37"/>
      <c r="E306" s="37"/>
      <c r="F306" s="36">
        <f>'Приложение 3'!G315</f>
        <v>2359.843</v>
      </c>
      <c r="G306" s="36">
        <f>'Приложение 3'!H315</f>
        <v>2099.843</v>
      </c>
      <c r="H306" s="93">
        <f t="shared" si="4"/>
        <v>88.98231789148684</v>
      </c>
    </row>
    <row r="307" spans="1:8" ht="12.75" customHeight="1" outlineLevel="3">
      <c r="A307" s="72" t="str">
        <f>'Приложение 3'!A316</f>
        <v>Телевидение и радиовещание</v>
      </c>
      <c r="B307" s="37" t="str">
        <f>'Приложение 3'!C316</f>
        <v>1201</v>
      </c>
      <c r="C307" s="37"/>
      <c r="D307" s="37"/>
      <c r="E307" s="37"/>
      <c r="F307" s="36">
        <f>'Приложение 3'!G316</f>
        <v>0</v>
      </c>
      <c r="G307" s="36">
        <f>'Приложение 3'!H316</f>
        <v>0</v>
      </c>
      <c r="H307" s="93" t="e">
        <f t="shared" si="4"/>
        <v>#DIV/0!</v>
      </c>
    </row>
    <row r="308" spans="1:8" ht="13.5" customHeight="1" outlineLevel="3">
      <c r="A308" s="72" t="str">
        <f>'Приложение 3'!A317</f>
        <v>Периодическая печать и издательство</v>
      </c>
      <c r="B308" s="37" t="str">
        <f>'Приложение 3'!C317</f>
        <v>1202</v>
      </c>
      <c r="C308" s="37"/>
      <c r="D308" s="37"/>
      <c r="E308" s="37"/>
      <c r="F308" s="36">
        <f>'Приложение 3'!G317</f>
        <v>2359.843</v>
      </c>
      <c r="G308" s="36">
        <f>'Приложение 3'!H317</f>
        <v>2099.843</v>
      </c>
      <c r="H308" s="93">
        <f t="shared" si="4"/>
        <v>88.98231789148684</v>
      </c>
    </row>
    <row r="309" spans="1:8" ht="36" outlineLevel="1">
      <c r="A309" s="72" t="str">
        <f>'Приложение 3'!A318</f>
        <v>Ведомственная целевая программа "Поддержка средств массовой информации  в Алексеевском муниципальном районе на 2016-2018 годы"</v>
      </c>
      <c r="B309" s="37" t="str">
        <f>'Приложение 3'!C318</f>
        <v>1202</v>
      </c>
      <c r="C309" s="37" t="str">
        <f>'Приложение 3'!D318</f>
        <v>61</v>
      </c>
      <c r="D309" s="37">
        <f>'Приложение 3'!E318</f>
        <v>0</v>
      </c>
      <c r="E309" s="37"/>
      <c r="F309" s="36">
        <f>'Приложение 3'!G318</f>
        <v>2359.843</v>
      </c>
      <c r="G309" s="36">
        <f>'Приложение 3'!H318</f>
        <v>2099.843</v>
      </c>
      <c r="H309" s="93">
        <f t="shared" si="4"/>
        <v>88.98231789148684</v>
      </c>
    </row>
    <row r="310" spans="1:8" ht="24" outlineLevel="2">
      <c r="A310" s="72" t="str">
        <f>'Приложение 3'!A319</f>
        <v>Предоставление субсидий бюджетным, автономным учреждениям и иным некоммерческим организациям</v>
      </c>
      <c r="B310" s="37" t="str">
        <f>'Приложение 3'!C319</f>
        <v>1202</v>
      </c>
      <c r="C310" s="37" t="str">
        <f>'Приложение 3'!D319</f>
        <v>61</v>
      </c>
      <c r="D310" s="37">
        <f>'Приложение 3'!E319</f>
        <v>0</v>
      </c>
      <c r="E310" s="37">
        <f>'Приложение 3'!F319</f>
        <v>600</v>
      </c>
      <c r="F310" s="36">
        <f>'Приложение 3'!G319</f>
        <v>1200</v>
      </c>
      <c r="G310" s="36">
        <f>'Приложение 3'!H319</f>
        <v>940</v>
      </c>
      <c r="H310" s="93">
        <f t="shared" si="4"/>
        <v>78.33333333333333</v>
      </c>
    </row>
    <row r="311" spans="1:8" ht="105.75" customHeight="1" outlineLevel="2">
      <c r="A311" s="72" t="str">
        <f>'Приложение 3'!A320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1" s="37" t="str">
        <f>'Приложение 3'!C320</f>
        <v>1202</v>
      </c>
      <c r="C311" s="37" t="str">
        <f>'Приложение 3'!D320</f>
        <v>61</v>
      </c>
      <c r="D311" s="37">
        <f>'Приложение 3'!E320</f>
        <v>0</v>
      </c>
      <c r="E311" s="37">
        <f>'Приложение 3'!F320</f>
        <v>600</v>
      </c>
      <c r="F311" s="36">
        <f>'Приложение 3'!G320</f>
        <v>1159.843</v>
      </c>
      <c r="G311" s="36">
        <f>'Приложение 3'!H320</f>
        <v>1159.843</v>
      </c>
      <c r="H311" s="93">
        <f t="shared" si="4"/>
        <v>100</v>
      </c>
    </row>
    <row r="312" spans="1:8" ht="12.75" outlineLevel="5">
      <c r="A312" s="72" t="str">
        <f>'Приложение 3'!A321</f>
        <v>Обслуживание государственного и муниципального долга </v>
      </c>
      <c r="B312" s="37" t="str">
        <f>'Приложение 3'!C321</f>
        <v>1300</v>
      </c>
      <c r="C312" s="37"/>
      <c r="D312" s="37"/>
      <c r="E312" s="37"/>
      <c r="F312" s="36">
        <f>'Приложение 3'!G321</f>
        <v>200</v>
      </c>
      <c r="G312" s="36">
        <f>'Приложение 3'!H321</f>
        <v>0</v>
      </c>
      <c r="H312" s="93">
        <f t="shared" si="4"/>
        <v>0</v>
      </c>
    </row>
    <row r="313" spans="1:8" ht="24" outlineLevel="5">
      <c r="A313" s="72" t="str">
        <f>'Приложение 3'!A322</f>
        <v>Обслуживание государственного внутреннего и муниципального долга</v>
      </c>
      <c r="B313" s="37" t="str">
        <f>'Приложение 3'!C322</f>
        <v>1301</v>
      </c>
      <c r="C313" s="37"/>
      <c r="D313" s="37"/>
      <c r="E313" s="37"/>
      <c r="F313" s="36">
        <f>'Приложение 3'!G322</f>
        <v>200</v>
      </c>
      <c r="G313" s="36">
        <f>'Приложение 3'!H322</f>
        <v>0</v>
      </c>
      <c r="H313" s="93">
        <f t="shared" si="4"/>
        <v>0</v>
      </c>
    </row>
    <row r="314" spans="1:8" ht="27.75" customHeight="1" outlineLevel="5">
      <c r="A314" s="72" t="str">
        <f>'Приложение 3'!A323</f>
        <v>Непрограммные расходы органов местного самоуправления Алексеевского муниципального района</v>
      </c>
      <c r="B314" s="37" t="str">
        <f>'Приложение 3'!C323</f>
        <v>1301</v>
      </c>
      <c r="C314" s="37" t="str">
        <f>'Приложение 3'!D323</f>
        <v>99</v>
      </c>
      <c r="D314" s="37">
        <f>'Приложение 3'!E323</f>
        <v>0</v>
      </c>
      <c r="E314" s="37"/>
      <c r="F314" s="36">
        <f>'Приложение 3'!G323</f>
        <v>200</v>
      </c>
      <c r="G314" s="36">
        <f>'Приложение 3'!H323</f>
        <v>0</v>
      </c>
      <c r="H314" s="93">
        <f t="shared" si="4"/>
        <v>0</v>
      </c>
    </row>
    <row r="315" spans="1:8" ht="12.75" outlineLevel="5">
      <c r="A315" s="72" t="str">
        <f>'Приложение 3'!A324</f>
        <v>Обслуживание  государственного (муниципального) долга </v>
      </c>
      <c r="B315" s="37" t="str">
        <f>'Приложение 3'!C324</f>
        <v>1301</v>
      </c>
      <c r="C315" s="37" t="str">
        <f>'Приложение 3'!D324</f>
        <v>99</v>
      </c>
      <c r="D315" s="37">
        <f>'Приложение 3'!E324</f>
        <v>0</v>
      </c>
      <c r="E315" s="37">
        <f>'Приложение 3'!F324</f>
        <v>700</v>
      </c>
      <c r="F315" s="36">
        <f>'Приложение 3'!G324</f>
        <v>200</v>
      </c>
      <c r="G315" s="36">
        <f>'Приложение 3'!H324</f>
        <v>0</v>
      </c>
      <c r="H315" s="93">
        <f t="shared" si="4"/>
        <v>0</v>
      </c>
    </row>
    <row r="316" spans="1:8" ht="24" outlineLevel="5">
      <c r="A316" s="72" t="str">
        <f>'Приложение 3'!A325</f>
        <v>Межбюджетные трансферты общего характера бюджетам бюджетной системы Российской Федерации</v>
      </c>
      <c r="B316" s="37" t="str">
        <f>'Приложение 3'!C325</f>
        <v>1400</v>
      </c>
      <c r="C316" s="37"/>
      <c r="D316" s="37"/>
      <c r="E316" s="37"/>
      <c r="F316" s="36">
        <f>'Приложение 3'!G325</f>
        <v>6368</v>
      </c>
      <c r="G316" s="36">
        <f>'Приложение 3'!H325</f>
        <v>5187.25</v>
      </c>
      <c r="H316" s="93">
        <f t="shared" si="4"/>
        <v>81.4580716080402</v>
      </c>
    </row>
    <row r="317" spans="1:8" ht="12.75" outlineLevel="5">
      <c r="A317" s="72" t="str">
        <f>'Приложение 3'!A326</f>
        <v>Прочие межбюджетные трансферты общего характера</v>
      </c>
      <c r="B317" s="37" t="str">
        <f>'Приложение 3'!C326</f>
        <v>1403</v>
      </c>
      <c r="C317" s="37"/>
      <c r="D317" s="37"/>
      <c r="E317" s="37"/>
      <c r="F317" s="36">
        <f>'Приложение 3'!G326</f>
        <v>6368</v>
      </c>
      <c r="G317" s="36">
        <f>'Приложение 3'!H326</f>
        <v>5187.25</v>
      </c>
      <c r="H317" s="93">
        <f t="shared" si="4"/>
        <v>81.4580716080402</v>
      </c>
    </row>
    <row r="318" spans="1:8" ht="30.75" customHeight="1" outlineLevel="5">
      <c r="A318" s="72" t="str">
        <f>'Приложение 3'!A327</f>
        <v>Непрограммные расходы органов местного самоуправления Алексеевского муниципального района</v>
      </c>
      <c r="B318" s="37" t="str">
        <f>'Приложение 3'!C327</f>
        <v>1403</v>
      </c>
      <c r="C318" s="37" t="str">
        <f>'Приложение 3'!D327</f>
        <v>99</v>
      </c>
      <c r="D318" s="37">
        <f>'Приложение 3'!E327</f>
        <v>0</v>
      </c>
      <c r="E318" s="37"/>
      <c r="F318" s="36">
        <f>'Приложение 3'!G327</f>
        <v>6368</v>
      </c>
      <c r="G318" s="36">
        <f>'Приложение 3'!H327</f>
        <v>5187.25</v>
      </c>
      <c r="H318" s="93">
        <f t="shared" si="4"/>
        <v>81.4580716080402</v>
      </c>
    </row>
    <row r="319" spans="1:8" ht="18.75" customHeight="1" outlineLevel="5">
      <c r="A319" s="72" t="str">
        <f>'Приложение 3'!A328</f>
        <v>Межбюджетные трансферты</v>
      </c>
      <c r="B319" s="37" t="str">
        <f>'Приложение 3'!C328</f>
        <v>1403</v>
      </c>
      <c r="C319" s="37" t="str">
        <f>'Приложение 3'!D328</f>
        <v>99</v>
      </c>
      <c r="D319" s="37">
        <f>'Приложение 3'!E328</f>
        <v>0</v>
      </c>
      <c r="E319" s="37">
        <f>'Приложение 3'!F328</f>
        <v>500</v>
      </c>
      <c r="F319" s="36">
        <f>'Приложение 3'!G328</f>
        <v>6368</v>
      </c>
      <c r="G319" s="36">
        <f>'Приложение 3'!H328</f>
        <v>5187.25</v>
      </c>
      <c r="H319" s="93">
        <f t="shared" si="4"/>
        <v>81.4580716080402</v>
      </c>
    </row>
    <row r="320" spans="1:8" ht="21.75" customHeight="1" outlineLevel="5">
      <c r="A320" s="72" t="str">
        <f>'Приложение 3'!A329</f>
        <v>Всего </v>
      </c>
      <c r="B320" s="37"/>
      <c r="C320" s="37"/>
      <c r="D320" s="37"/>
      <c r="E320" s="37"/>
      <c r="F320" s="36">
        <f>'Приложение 3'!G329</f>
        <v>327769.89719999995</v>
      </c>
      <c r="G320" s="36">
        <f>'Приложение 3'!H329</f>
        <v>244986.82833000002</v>
      </c>
      <c r="H320" s="93">
        <f t="shared" si="4"/>
        <v>74.74354125342785</v>
      </c>
    </row>
  </sheetData>
  <sheetProtection/>
  <mergeCells count="7">
    <mergeCell ref="G8:H8"/>
    <mergeCell ref="C1:G1"/>
    <mergeCell ref="B2:G2"/>
    <mergeCell ref="A4:G4"/>
    <mergeCell ref="E3:G3"/>
    <mergeCell ref="F5:G5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73"/>
  <sheetViews>
    <sheetView showGridLines="0" zoomScalePageLayoutView="0" workbookViewId="0" topLeftCell="A1">
      <pane ySplit="8" topLeftCell="BM27" activePane="bottomLeft" state="frozen"/>
      <selection pane="topLeft" activeCell="A1" sqref="A1"/>
      <selection pane="bottomLeft" activeCell="E29" sqref="E29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140625" style="11" customWidth="1"/>
    <col min="5" max="5" width="11.140625" style="15" customWidth="1"/>
    <col min="6" max="6" width="12.140625" style="15" customWidth="1"/>
    <col min="7" max="7" width="8.8515625" style="2" customWidth="1"/>
    <col min="8" max="8" width="12.57421875" style="2" bestFit="1" customWidth="1"/>
    <col min="9" max="9" width="12.8515625" style="2" customWidth="1"/>
    <col min="10" max="16384" width="9.140625" style="2" customWidth="1"/>
  </cols>
  <sheetData>
    <row r="1" spans="5:7" ht="18.75">
      <c r="E1" s="110"/>
      <c r="F1" s="110"/>
      <c r="G1" s="23"/>
    </row>
    <row r="2" spans="5:7" ht="18.75">
      <c r="E2" s="110"/>
      <c r="F2" s="110"/>
      <c r="G2" s="23"/>
    </row>
    <row r="3" spans="5:7" ht="18.75">
      <c r="E3" s="110"/>
      <c r="F3" s="110"/>
      <c r="G3" s="23"/>
    </row>
    <row r="4" spans="1:7" ht="21.75" customHeight="1">
      <c r="A4" s="8"/>
      <c r="B4" s="1"/>
      <c r="C4" s="5"/>
      <c r="D4" s="10"/>
      <c r="E4" s="110"/>
      <c r="F4" s="110"/>
      <c r="G4" s="23"/>
    </row>
    <row r="5" spans="1:7" ht="53.25" customHeight="1">
      <c r="A5" s="115" t="s">
        <v>324</v>
      </c>
      <c r="B5" s="115"/>
      <c r="C5" s="115"/>
      <c r="D5" s="115"/>
      <c r="E5" s="115"/>
      <c r="F5" s="115"/>
      <c r="G5" s="115"/>
    </row>
    <row r="6" spans="1:7" ht="12.75" hidden="1">
      <c r="A6" s="39"/>
      <c r="B6" s="40"/>
      <c r="C6" s="41"/>
      <c r="D6" s="43"/>
      <c r="E6" s="42"/>
      <c r="F6" s="42"/>
      <c r="G6" s="17"/>
    </row>
    <row r="7" spans="1:7" ht="12.75">
      <c r="A7" s="39"/>
      <c r="B7" s="40"/>
      <c r="C7" s="41"/>
      <c r="D7" s="43"/>
      <c r="E7" s="42"/>
      <c r="F7" s="116" t="s">
        <v>177</v>
      </c>
      <c r="G7" s="116"/>
    </row>
    <row r="8" spans="1:7" ht="72.75" customHeight="1">
      <c r="A8" s="81" t="s">
        <v>1</v>
      </c>
      <c r="B8" s="79" t="s">
        <v>216</v>
      </c>
      <c r="C8" s="82" t="s">
        <v>9</v>
      </c>
      <c r="D8" s="80" t="s">
        <v>215</v>
      </c>
      <c r="E8" s="49" t="s">
        <v>289</v>
      </c>
      <c r="F8" s="49" t="s">
        <v>329</v>
      </c>
      <c r="G8" s="49" t="s">
        <v>328</v>
      </c>
    </row>
    <row r="9" spans="1:7" ht="41.25" customHeight="1" outlineLevel="2">
      <c r="A9" s="85" t="str">
        <f>'Приложение 3'!A50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9" s="60" t="str">
        <f>'Приложение 3'!D50</f>
        <v>01</v>
      </c>
      <c r="C9" s="60">
        <f>'Приложение 3'!E50</f>
        <v>0</v>
      </c>
      <c r="D9" s="60" t="s">
        <v>217</v>
      </c>
      <c r="E9" s="89">
        <f>SUM('Приложение 3'!G50)</f>
        <v>100</v>
      </c>
      <c r="F9" s="89">
        <f>SUM('Приложение 3'!H50)</f>
        <v>57.25</v>
      </c>
      <c r="G9" s="88">
        <f aca="true" t="shared" si="0" ref="G9:G67">SUM(F9/E9)*100</f>
        <v>57.25</v>
      </c>
    </row>
    <row r="10" spans="1:7" ht="17.25" customHeight="1" outlineLevel="2">
      <c r="A10" s="86" t="s">
        <v>223</v>
      </c>
      <c r="B10" s="61" t="s">
        <v>2</v>
      </c>
      <c r="C10" s="61" t="s">
        <v>10</v>
      </c>
      <c r="D10" s="61" t="s">
        <v>2</v>
      </c>
      <c r="E10" s="90">
        <f>SUM('Приложение 3'!G51)</f>
        <v>100</v>
      </c>
      <c r="F10" s="90">
        <v>50</v>
      </c>
      <c r="G10" s="88">
        <f t="shared" si="0"/>
        <v>50</v>
      </c>
    </row>
    <row r="11" spans="1:7" ht="40.5" customHeight="1" outlineLevel="5">
      <c r="A11" s="76" t="str">
        <f>'Приложение 3'!A130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1" s="60" t="s">
        <v>6</v>
      </c>
      <c r="C11" s="67">
        <v>0</v>
      </c>
      <c r="D11" s="60" t="s">
        <v>217</v>
      </c>
      <c r="E11" s="89">
        <f>SUM(E12+E19+E14+E16)</f>
        <v>43836.2098</v>
      </c>
      <c r="F11" s="89">
        <f>SUM(F12+F19+F14+F16)</f>
        <v>14791.064400000001</v>
      </c>
      <c r="G11" s="88">
        <f t="shared" si="0"/>
        <v>33.74165893329583</v>
      </c>
    </row>
    <row r="12" spans="1:7" ht="49.5" customHeight="1" outlineLevel="5">
      <c r="A12" s="76" t="str">
        <f>'Приложение 3'!A131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0" t="s">
        <v>6</v>
      </c>
      <c r="C12" s="67">
        <v>1</v>
      </c>
      <c r="D12" s="60" t="s">
        <v>217</v>
      </c>
      <c r="E12" s="89">
        <f>SUM(E13)</f>
        <v>6737.1</v>
      </c>
      <c r="F12" s="89">
        <f>SUM(F13)</f>
        <v>5196.02107</v>
      </c>
      <c r="G12" s="88">
        <f t="shared" si="0"/>
        <v>77.12548529782843</v>
      </c>
    </row>
    <row r="13" spans="1:7" ht="30" customHeight="1">
      <c r="A13" s="86" t="s">
        <v>237</v>
      </c>
      <c r="B13" s="61" t="s">
        <v>6</v>
      </c>
      <c r="C13" s="61" t="s">
        <v>220</v>
      </c>
      <c r="D13" s="61" t="s">
        <v>2</v>
      </c>
      <c r="E13" s="90">
        <f>SUM('Приложение 3'!G128+'Приложение 3'!G132+'Приложение 3'!G133)</f>
        <v>6737.1</v>
      </c>
      <c r="F13" s="90">
        <f>SUM('Приложение 3'!H128+'Приложение 3'!H132+'Приложение 3'!H133)</f>
        <v>5196.02107</v>
      </c>
      <c r="G13" s="88">
        <f t="shared" si="0"/>
        <v>77.12548529782843</v>
      </c>
    </row>
    <row r="14" spans="1:7" ht="30" customHeight="1">
      <c r="A14" s="76" t="str">
        <f>'Приложение 3'!A134</f>
        <v>Подпрограмма «Газификация Алексеевского муниципального района»</v>
      </c>
      <c r="B14" s="60" t="s">
        <v>6</v>
      </c>
      <c r="C14" s="67">
        <v>2</v>
      </c>
      <c r="D14" s="60" t="s">
        <v>217</v>
      </c>
      <c r="E14" s="89">
        <f>SUM('Приложение 3'!G134)</f>
        <v>0</v>
      </c>
      <c r="F14" s="89">
        <f>SUM('Приложение 3'!H134)</f>
        <v>0</v>
      </c>
      <c r="G14" s="88">
        <v>0</v>
      </c>
    </row>
    <row r="15" spans="1:7" ht="30" customHeight="1">
      <c r="A15" s="86" t="s">
        <v>273</v>
      </c>
      <c r="B15" s="61" t="s">
        <v>6</v>
      </c>
      <c r="C15" s="61" t="s">
        <v>221</v>
      </c>
      <c r="D15" s="61" t="s">
        <v>2</v>
      </c>
      <c r="E15" s="90">
        <f>SUM('Приложение 3'!G134)</f>
        <v>0</v>
      </c>
      <c r="F15" s="90">
        <f>SUM('Приложение 3'!H135)</f>
        <v>0</v>
      </c>
      <c r="G15" s="88">
        <v>0</v>
      </c>
    </row>
    <row r="16" spans="1:7" ht="34.5" customHeight="1">
      <c r="A16" s="76" t="str">
        <f>'Приложение 3'!A137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6" s="60" t="s">
        <v>6</v>
      </c>
      <c r="C16" s="67">
        <v>3</v>
      </c>
      <c r="D16" s="60" t="s">
        <v>217</v>
      </c>
      <c r="E16" s="89">
        <f>SUM(E17:E18)</f>
        <v>34225.1098</v>
      </c>
      <c r="F16" s="89">
        <f>SUM(F17:F18)</f>
        <v>7316.288920000001</v>
      </c>
      <c r="G16" s="88">
        <f t="shared" si="0"/>
        <v>21.37696259487238</v>
      </c>
    </row>
    <row r="17" spans="1:7" ht="42" customHeight="1">
      <c r="A17" s="75" t="s">
        <v>297</v>
      </c>
      <c r="B17" s="61" t="s">
        <v>6</v>
      </c>
      <c r="C17" s="61" t="s">
        <v>222</v>
      </c>
      <c r="D17" s="61" t="s">
        <v>2</v>
      </c>
      <c r="E17" s="90">
        <f>SUM('Приложение 3'!G139+'Приложение 3'!G279+'Приложение 3'!G152+'Приложение 3'!G307)</f>
        <v>20839.66</v>
      </c>
      <c r="F17" s="90">
        <f>SUM('Приложение 3'!H139+'Приложение 3'!H279+'Приложение 3'!H152+'Приложение 3'!H307)</f>
        <v>1116.68473</v>
      </c>
      <c r="G17" s="88">
        <f t="shared" si="0"/>
        <v>5.358459447035124</v>
      </c>
    </row>
    <row r="18" spans="1:7" ht="30" customHeight="1">
      <c r="A18" s="86" t="s">
        <v>274</v>
      </c>
      <c r="B18" s="61" t="s">
        <v>6</v>
      </c>
      <c r="C18" s="61" t="s">
        <v>222</v>
      </c>
      <c r="D18" s="61" t="s">
        <v>6</v>
      </c>
      <c r="E18" s="90">
        <f>SUM('Приложение 3'!G138+'Приложение 3'!G153+'Приложение 3'!G169+'Приложение 3'!G216+'Приложение 3'!G66+'Приложение 3'!G250+'Приложение 3'!G203)</f>
        <v>13385.4498</v>
      </c>
      <c r="F18" s="90">
        <f>SUM('Приложение 3'!H138+'Приложение 3'!H153+'Приложение 3'!H169+'Приложение 3'!H216+'Приложение 3'!H66+'Приложение 3'!H250+'Приложение 3'!H203)</f>
        <v>6199.604190000001</v>
      </c>
      <c r="G18" s="88">
        <f t="shared" si="0"/>
        <v>46.315994476330566</v>
      </c>
    </row>
    <row r="19" spans="1:7" ht="40.5" customHeight="1">
      <c r="A19" s="85" t="str">
        <f>'Приложение 3'!A67</f>
        <v>Подпрограмма "Энергосбережение и повышение энергетической эффективности Алексеевского муниципального района"</v>
      </c>
      <c r="B19" s="60" t="s">
        <v>6</v>
      </c>
      <c r="C19" s="60" t="s">
        <v>238</v>
      </c>
      <c r="D19" s="60" t="s">
        <v>217</v>
      </c>
      <c r="E19" s="89">
        <f>SUM(E20)</f>
        <v>2874</v>
      </c>
      <c r="F19" s="89">
        <f>SUM(F20)</f>
        <v>2278.75441</v>
      </c>
      <c r="G19" s="88">
        <f t="shared" si="0"/>
        <v>79.28860160055672</v>
      </c>
    </row>
    <row r="20" spans="1:7" ht="27.75" customHeight="1">
      <c r="A20" s="86" t="s">
        <v>325</v>
      </c>
      <c r="B20" s="61" t="s">
        <v>6</v>
      </c>
      <c r="C20" s="61" t="s">
        <v>238</v>
      </c>
      <c r="D20" s="61" t="s">
        <v>2</v>
      </c>
      <c r="E20" s="90">
        <f>SUM('Приложение 3'!G68+'Приложение 3'!G155+'Приложение 3'!G170)</f>
        <v>2874</v>
      </c>
      <c r="F20" s="90">
        <f>SUM('Приложение 3'!H68+'Приложение 3'!H155+'Приложение 3'!H170)</f>
        <v>2278.75441</v>
      </c>
      <c r="G20" s="88">
        <f t="shared" si="0"/>
        <v>79.28860160055672</v>
      </c>
    </row>
    <row r="21" spans="1:7" ht="42.75" customHeight="1">
      <c r="A21" s="76" t="str">
        <f>'Приложение 3'!A114</f>
        <v>Муниципальная программа "Развитие и поддержка малого предпринимательства Алексеевского муниципального района на 2016-2018 годы "</v>
      </c>
      <c r="B21" s="60" t="s">
        <v>14</v>
      </c>
      <c r="C21" s="60" t="s">
        <v>10</v>
      </c>
      <c r="D21" s="60" t="s">
        <v>217</v>
      </c>
      <c r="E21" s="89">
        <f>SUM('Приложение 3'!G114)</f>
        <v>300</v>
      </c>
      <c r="F21" s="89">
        <f>SUM('Приложение 3'!H114)</f>
        <v>0</v>
      </c>
      <c r="G21" s="88">
        <f t="shared" si="0"/>
        <v>0</v>
      </c>
    </row>
    <row r="22" spans="1:7" ht="36.75" customHeight="1">
      <c r="A22" s="86" t="s">
        <v>239</v>
      </c>
      <c r="B22" s="61" t="s">
        <v>14</v>
      </c>
      <c r="C22" s="61" t="s">
        <v>10</v>
      </c>
      <c r="D22" s="61" t="s">
        <v>2</v>
      </c>
      <c r="E22" s="90">
        <f>SUM('Приложение 3'!G115)</f>
        <v>50</v>
      </c>
      <c r="F22" s="90">
        <f>SUM('Приложение 3'!H115)</f>
        <v>0</v>
      </c>
      <c r="G22" s="88">
        <f t="shared" si="0"/>
        <v>0</v>
      </c>
    </row>
    <row r="23" spans="1:7" ht="29.25" customHeight="1">
      <c r="A23" s="86" t="s">
        <v>240</v>
      </c>
      <c r="B23" s="61" t="s">
        <v>14</v>
      </c>
      <c r="C23" s="61" t="s">
        <v>10</v>
      </c>
      <c r="D23" s="61" t="s">
        <v>6</v>
      </c>
      <c r="E23" s="90">
        <f>SUM('Приложение 3'!G117)</f>
        <v>200</v>
      </c>
      <c r="F23" s="90">
        <f>SUM('Приложение 3'!H117)</f>
        <v>0</v>
      </c>
      <c r="G23" s="88">
        <f t="shared" si="0"/>
        <v>0</v>
      </c>
    </row>
    <row r="24" spans="1:7" ht="42.75" customHeight="1">
      <c r="A24" s="86" t="s">
        <v>256</v>
      </c>
      <c r="B24" s="61" t="s">
        <v>14</v>
      </c>
      <c r="C24" s="61" t="s">
        <v>10</v>
      </c>
      <c r="D24" s="61" t="s">
        <v>13</v>
      </c>
      <c r="E24" s="90">
        <f>SUM('Приложение 3'!G116)</f>
        <v>50</v>
      </c>
      <c r="F24" s="90">
        <f>SUM('Приложение 3'!H116)</f>
        <v>0</v>
      </c>
      <c r="G24" s="88">
        <f t="shared" si="0"/>
        <v>0</v>
      </c>
    </row>
    <row r="25" spans="1:7" ht="38.25" customHeight="1">
      <c r="A25" s="76" t="str">
        <f>'Приложение 3'!A146</f>
        <v>Муниципальная программа  «Охрана окружающей среды Алексеевского муниципального района на 2016-2018 годы»</v>
      </c>
      <c r="B25" s="60" t="s">
        <v>16</v>
      </c>
      <c r="C25" s="60" t="s">
        <v>10</v>
      </c>
      <c r="D25" s="60" t="s">
        <v>217</v>
      </c>
      <c r="E25" s="89">
        <f>SUM('Приложение 3'!G146)</f>
        <v>50</v>
      </c>
      <c r="F25" s="89">
        <f>SUM('Приложение 3'!H146)</f>
        <v>0</v>
      </c>
      <c r="G25" s="88">
        <f t="shared" si="0"/>
        <v>0</v>
      </c>
    </row>
    <row r="26" spans="1:7" ht="25.5" customHeight="1">
      <c r="A26" s="86" t="s">
        <v>241</v>
      </c>
      <c r="B26" s="61" t="s">
        <v>16</v>
      </c>
      <c r="C26" s="61" t="s">
        <v>10</v>
      </c>
      <c r="D26" s="61" t="s">
        <v>2</v>
      </c>
      <c r="E26" s="90">
        <f>SUM('Приложение 3'!G147)</f>
        <v>50</v>
      </c>
      <c r="F26" s="90">
        <f>SUM('Приложение 3'!H147)</f>
        <v>0</v>
      </c>
      <c r="G26" s="88">
        <f t="shared" si="0"/>
        <v>0</v>
      </c>
    </row>
    <row r="27" spans="1:7" ht="38.25" customHeight="1">
      <c r="A27" s="76" t="str">
        <f>'Приложение 3'!A251</f>
        <v>Муниципальная программа  "Развитие культуры и искусства в Алексеевском муниципальном районе на 2017-2019 годы"</v>
      </c>
      <c r="B27" s="60" t="s">
        <v>315</v>
      </c>
      <c r="C27" s="60" t="s">
        <v>10</v>
      </c>
      <c r="D27" s="60" t="s">
        <v>217</v>
      </c>
      <c r="E27" s="89">
        <f>SUM('Приложение 3'!G251)</f>
        <v>1388.67</v>
      </c>
      <c r="F27" s="89">
        <f>SUM('Приложение 3'!H251)</f>
        <v>1038.67</v>
      </c>
      <c r="G27" s="88">
        <f t="shared" si="0"/>
        <v>74.79602785398978</v>
      </c>
    </row>
    <row r="28" spans="1:7" ht="38.25" customHeight="1">
      <c r="A28" s="86" t="s">
        <v>319</v>
      </c>
      <c r="B28" s="61" t="s">
        <v>315</v>
      </c>
      <c r="C28" s="61" t="s">
        <v>10</v>
      </c>
      <c r="D28" s="61" t="s">
        <v>2</v>
      </c>
      <c r="E28" s="90">
        <f>SUM('Приложение 3'!G251)</f>
        <v>1388.67</v>
      </c>
      <c r="F28" s="90">
        <f>SUM('Приложение 3'!H251)</f>
        <v>1038.67</v>
      </c>
      <c r="G28" s="88">
        <f t="shared" si="0"/>
        <v>74.79602785398978</v>
      </c>
    </row>
    <row r="29" spans="1:7" ht="62.25" customHeight="1">
      <c r="A29" s="76" t="str">
        <f>'Приложение 3'!A218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9" s="60" t="s">
        <v>30</v>
      </c>
      <c r="C29" s="60" t="s">
        <v>10</v>
      </c>
      <c r="D29" s="60" t="s">
        <v>217</v>
      </c>
      <c r="E29" s="89">
        <f>SUM('Приложение 3'!G218)</f>
        <v>338</v>
      </c>
      <c r="F29" s="89">
        <f>SUM('Приложение 3'!H218)</f>
        <v>333.2939</v>
      </c>
      <c r="G29" s="88">
        <f t="shared" si="0"/>
        <v>98.60766272189349</v>
      </c>
    </row>
    <row r="30" spans="1:7" ht="27.75" customHeight="1">
      <c r="A30" s="76" t="str">
        <f>'Приложение 3'!A219</f>
        <v>Подпрограмма "Комплексные меры по противодействию наркомании"</v>
      </c>
      <c r="B30" s="60" t="s">
        <v>30</v>
      </c>
      <c r="C30" s="60" t="s">
        <v>220</v>
      </c>
      <c r="D30" s="60" t="s">
        <v>217</v>
      </c>
      <c r="E30" s="89">
        <f>SUM('Приложение 3'!G219)</f>
        <v>45</v>
      </c>
      <c r="F30" s="89">
        <f>SUM('Приложение 3'!H219)</f>
        <v>45</v>
      </c>
      <c r="G30" s="88">
        <f t="shared" si="0"/>
        <v>100</v>
      </c>
    </row>
    <row r="31" spans="1:7" ht="42" customHeight="1">
      <c r="A31" s="86" t="s">
        <v>242</v>
      </c>
      <c r="B31" s="61" t="s">
        <v>30</v>
      </c>
      <c r="C31" s="61" t="s">
        <v>220</v>
      </c>
      <c r="D31" s="61" t="s">
        <v>2</v>
      </c>
      <c r="E31" s="90">
        <f>SUM('Приложение 3'!G220)</f>
        <v>45</v>
      </c>
      <c r="F31" s="90">
        <f>SUM('Приложение 3'!H220)</f>
        <v>45</v>
      </c>
      <c r="G31" s="88">
        <f t="shared" si="0"/>
        <v>100</v>
      </c>
    </row>
    <row r="32" spans="1:7" ht="29.25" customHeight="1" outlineLevel="1">
      <c r="A32" s="76" t="str">
        <f>'Приложение 3'!A221</f>
        <v>Подпрограмма "Реализация мероприятий молодежной политики и социальной адаптации молодежи "</v>
      </c>
      <c r="B32" s="60" t="s">
        <v>30</v>
      </c>
      <c r="C32" s="60" t="s">
        <v>221</v>
      </c>
      <c r="D32" s="60" t="s">
        <v>217</v>
      </c>
      <c r="E32" s="89">
        <f>SUM('Приложение 3'!G221)</f>
        <v>238</v>
      </c>
      <c r="F32" s="89">
        <f>SUM('Приложение 3'!H221)</f>
        <v>236.4024</v>
      </c>
      <c r="G32" s="88">
        <f t="shared" si="0"/>
        <v>99.32873949579832</v>
      </c>
    </row>
    <row r="33" spans="1:7" ht="30" customHeight="1" outlineLevel="5">
      <c r="A33" s="86" t="s">
        <v>243</v>
      </c>
      <c r="B33" s="61" t="s">
        <v>30</v>
      </c>
      <c r="C33" s="61" t="s">
        <v>221</v>
      </c>
      <c r="D33" s="61" t="s">
        <v>2</v>
      </c>
      <c r="E33" s="90">
        <f>SUM('Приложение 3'!G222)</f>
        <v>238</v>
      </c>
      <c r="F33" s="90">
        <f>SUM('Приложение 3'!H222)</f>
        <v>236.4024</v>
      </c>
      <c r="G33" s="88">
        <f t="shared" si="0"/>
        <v>99.32873949579832</v>
      </c>
    </row>
    <row r="34" spans="1:7" ht="42.75" customHeight="1" outlineLevel="5">
      <c r="A34" s="76" t="str">
        <f>'Приложение 3'!A223</f>
        <v>Подпрограмма " Профилактика безнадзорности , правонарушений и неблагополучия несовершеннолетних"</v>
      </c>
      <c r="B34" s="60" t="s">
        <v>30</v>
      </c>
      <c r="C34" s="60" t="s">
        <v>222</v>
      </c>
      <c r="D34" s="60" t="s">
        <v>217</v>
      </c>
      <c r="E34" s="89">
        <f>SUM('Приложение 3'!G223)</f>
        <v>55</v>
      </c>
      <c r="F34" s="89">
        <f>SUM('Приложение 3'!H223)</f>
        <v>51.8915</v>
      </c>
      <c r="G34" s="88">
        <f t="shared" si="0"/>
        <v>94.34818181818181</v>
      </c>
    </row>
    <row r="35" spans="1:7" s="17" customFormat="1" ht="39.75" customHeight="1" outlineLevel="2">
      <c r="A35" s="86" t="s">
        <v>244</v>
      </c>
      <c r="B35" s="61" t="s">
        <v>30</v>
      </c>
      <c r="C35" s="62">
        <v>3</v>
      </c>
      <c r="D35" s="61" t="s">
        <v>2</v>
      </c>
      <c r="E35" s="90">
        <f>SUM('Приложение 3'!G224)</f>
        <v>39.1085</v>
      </c>
      <c r="F35" s="90">
        <f>SUM('Приложение 3'!H224)</f>
        <v>38</v>
      </c>
      <c r="G35" s="88">
        <f t="shared" si="0"/>
        <v>97.16557781556439</v>
      </c>
    </row>
    <row r="36" spans="1:7" s="17" customFormat="1" ht="39.75" customHeight="1" outlineLevel="2">
      <c r="A36" s="86" t="s">
        <v>317</v>
      </c>
      <c r="B36" s="61" t="s">
        <v>30</v>
      </c>
      <c r="C36" s="62">
        <v>3</v>
      </c>
      <c r="D36" s="61" t="s">
        <v>6</v>
      </c>
      <c r="E36" s="90">
        <f>SUM('Приложение 3'!G225)</f>
        <v>2</v>
      </c>
      <c r="F36" s="90">
        <f>SUM('Приложение 3'!H225)</f>
        <v>0</v>
      </c>
      <c r="G36" s="88">
        <f t="shared" si="0"/>
        <v>0</v>
      </c>
    </row>
    <row r="37" spans="1:7" s="17" customFormat="1" ht="28.5" customHeight="1" outlineLevel="2">
      <c r="A37" s="86" t="s">
        <v>318</v>
      </c>
      <c r="B37" s="61" t="s">
        <v>30</v>
      </c>
      <c r="C37" s="62">
        <v>3</v>
      </c>
      <c r="D37" s="61" t="s">
        <v>13</v>
      </c>
      <c r="E37" s="90">
        <f>SUM('Приложение 3'!G226)</f>
        <v>13.8915</v>
      </c>
      <c r="F37" s="90">
        <f>SUM('Приложение 3'!H226)</f>
        <v>13.8915</v>
      </c>
      <c r="G37" s="88">
        <f t="shared" si="0"/>
        <v>100</v>
      </c>
    </row>
    <row r="38" spans="1:7" s="17" customFormat="1" ht="75" customHeight="1" outlineLevel="2">
      <c r="A38" s="76" t="str">
        <f>'Приложение 3'!A240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38" s="60" t="s">
        <v>284</v>
      </c>
      <c r="C38" s="60" t="s">
        <v>10</v>
      </c>
      <c r="D38" s="60" t="s">
        <v>217</v>
      </c>
      <c r="E38" s="89">
        <f>SUM('Приложение 3'!G240)</f>
        <v>25</v>
      </c>
      <c r="F38" s="89">
        <f>SUM('Приложение 3'!H240)</f>
        <v>0</v>
      </c>
      <c r="G38" s="88">
        <f t="shared" si="0"/>
        <v>0</v>
      </c>
    </row>
    <row r="39" spans="1:7" s="17" customFormat="1" ht="55.5" customHeight="1" outlineLevel="2">
      <c r="A39" s="86" t="s">
        <v>287</v>
      </c>
      <c r="B39" s="61" t="s">
        <v>284</v>
      </c>
      <c r="C39" s="62">
        <v>0</v>
      </c>
      <c r="D39" s="61" t="s">
        <v>2</v>
      </c>
      <c r="E39" s="90">
        <f>SUM('Приложение 3'!G241)</f>
        <v>25</v>
      </c>
      <c r="F39" s="90">
        <f>SUM('Приложение 3'!H241)</f>
        <v>0</v>
      </c>
      <c r="G39" s="88">
        <f t="shared" si="0"/>
        <v>0</v>
      </c>
    </row>
    <row r="40" spans="1:7" s="17" customFormat="1" ht="43.5" customHeight="1" outlineLevel="2">
      <c r="A40" s="76" t="str">
        <f>'Приложение 3'!A156</f>
        <v>Муниципальная программа "Благоустройство территорий образовательных учреждений Алексеевского муниципального района на 2017 год"</v>
      </c>
      <c r="B40" s="60" t="s">
        <v>321</v>
      </c>
      <c r="C40" s="60" t="s">
        <v>10</v>
      </c>
      <c r="D40" s="60" t="s">
        <v>217</v>
      </c>
      <c r="E40" s="89">
        <f>SUM('Приложение 3'!G156+'Приложение 3'!G173+'Приложение 3'!G205)</f>
        <v>685</v>
      </c>
      <c r="F40" s="89">
        <f>SUM('Приложение 3'!H156+'Приложение 3'!H173+'Приложение 3'!H205)</f>
        <v>605</v>
      </c>
      <c r="G40" s="88">
        <f t="shared" si="0"/>
        <v>88.32116788321169</v>
      </c>
    </row>
    <row r="41" spans="1:7" s="17" customFormat="1" ht="40.5" customHeight="1" outlineLevel="2">
      <c r="A41" s="86" t="s">
        <v>323</v>
      </c>
      <c r="B41" s="61" t="s">
        <v>321</v>
      </c>
      <c r="C41" s="62">
        <v>0</v>
      </c>
      <c r="D41" s="61" t="s">
        <v>2</v>
      </c>
      <c r="E41" s="90">
        <f>SUM('Приложение 3'!G157+'Приложение 3'!G174+'Приложение 3'!G175+'Приложение 3'!G206)</f>
        <v>685</v>
      </c>
      <c r="F41" s="90">
        <f>SUM('Приложение 3'!H157+'Приложение 3'!H174+'Приложение 3'!H175+'Приложение 3'!H206)</f>
        <v>605</v>
      </c>
      <c r="G41" s="88">
        <f t="shared" si="0"/>
        <v>88.32116788321169</v>
      </c>
    </row>
    <row r="42" spans="1:7" s="17" customFormat="1" ht="45.75" customHeight="1" outlineLevel="2">
      <c r="A42" s="76" t="str">
        <f>'Приложение 3'!A227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42" s="60" t="s">
        <v>7</v>
      </c>
      <c r="C42" s="60" t="s">
        <v>10</v>
      </c>
      <c r="D42" s="60" t="s">
        <v>217</v>
      </c>
      <c r="E42" s="89">
        <f>SUM('Приложение 3'!G227)</f>
        <v>297.62368</v>
      </c>
      <c r="F42" s="89">
        <f>SUM('Приложение 3'!H227)</f>
        <v>297.62368</v>
      </c>
      <c r="G42" s="88">
        <f t="shared" si="0"/>
        <v>100</v>
      </c>
    </row>
    <row r="43" spans="1:7" ht="36" customHeight="1" outlineLevel="3">
      <c r="A43" s="86" t="s">
        <v>266</v>
      </c>
      <c r="B43" s="61" t="s">
        <v>7</v>
      </c>
      <c r="C43" s="61" t="s">
        <v>10</v>
      </c>
      <c r="D43" s="61" t="s">
        <v>2</v>
      </c>
      <c r="E43" s="90">
        <f>SUM('Приложение 3'!G227)</f>
        <v>297.62368</v>
      </c>
      <c r="F43" s="90">
        <f>SUM('Приложение 3'!H227)</f>
        <v>297.62368</v>
      </c>
      <c r="G43" s="88">
        <f t="shared" si="0"/>
        <v>100</v>
      </c>
    </row>
    <row r="44" spans="1:7" ht="40.5" customHeight="1">
      <c r="A44" s="76" t="str">
        <f>'Приложение 3'!A256</f>
        <v>Муниципальная программа  «Развитие народных художественных промыслов Алексеевского  муниципального района на 2016-2018 годы»</v>
      </c>
      <c r="B44" s="60" t="s">
        <v>5</v>
      </c>
      <c r="C44" s="60" t="s">
        <v>10</v>
      </c>
      <c r="D44" s="60" t="s">
        <v>217</v>
      </c>
      <c r="E44" s="89">
        <f>SUM('Приложение 3'!G256)</f>
        <v>100</v>
      </c>
      <c r="F44" s="89">
        <f>SUM('Приложение 3'!H256)</f>
        <v>26.58</v>
      </c>
      <c r="G44" s="88">
        <f t="shared" si="0"/>
        <v>26.58</v>
      </c>
    </row>
    <row r="45" spans="1:7" ht="43.5" customHeight="1">
      <c r="A45" s="86" t="s">
        <v>245</v>
      </c>
      <c r="B45" s="61" t="s">
        <v>5</v>
      </c>
      <c r="C45" s="61" t="s">
        <v>10</v>
      </c>
      <c r="D45" s="61" t="s">
        <v>2</v>
      </c>
      <c r="E45" s="90">
        <f>SUM('Приложение 3'!G257)</f>
        <v>100</v>
      </c>
      <c r="F45" s="90">
        <f>SUM('Приложение 3'!H257)</f>
        <v>26.58</v>
      </c>
      <c r="G45" s="88">
        <f t="shared" si="0"/>
        <v>26.58</v>
      </c>
    </row>
    <row r="46" spans="1:7" ht="42.75" customHeight="1">
      <c r="A46" s="76" t="str">
        <f>'Приложение 3'!A258</f>
        <v>Муниципальная программа "О поддержке деятельности казачьих обществ  Алексеевского муниципального района на 2016-2018 годы"</v>
      </c>
      <c r="B46" s="61" t="s">
        <v>4</v>
      </c>
      <c r="C46" s="61" t="s">
        <v>10</v>
      </c>
      <c r="D46" s="61" t="s">
        <v>217</v>
      </c>
      <c r="E46" s="89">
        <f>SUM('Приложение 3'!G258)</f>
        <v>150</v>
      </c>
      <c r="F46" s="89">
        <f>SUM('Приложение 3'!H258)</f>
        <v>76.6716</v>
      </c>
      <c r="G46" s="88">
        <f t="shared" si="0"/>
        <v>51.114399999999996</v>
      </c>
    </row>
    <row r="47" spans="1:7" ht="28.5" customHeight="1">
      <c r="A47" s="86" t="s">
        <v>246</v>
      </c>
      <c r="B47" s="61" t="s">
        <v>4</v>
      </c>
      <c r="C47" s="61">
        <f>'Приложение 3'!E314</f>
        <v>0</v>
      </c>
      <c r="D47" s="61" t="s">
        <v>2</v>
      </c>
      <c r="E47" s="90">
        <f>SUM('Приложение 3'!G259)</f>
        <v>150</v>
      </c>
      <c r="F47" s="90">
        <f>SUM('Приложение 3'!H259)</f>
        <v>76.6716</v>
      </c>
      <c r="G47" s="88">
        <f t="shared" si="0"/>
        <v>51.114399999999996</v>
      </c>
    </row>
    <row r="48" spans="1:7" ht="74.25" customHeight="1">
      <c r="A48" s="76" t="str">
        <f>'Приложение 3'!A286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48" s="60" t="s">
        <v>8</v>
      </c>
      <c r="C48" s="60">
        <f>'Приложение 3'!E111</f>
        <v>0</v>
      </c>
      <c r="D48" s="60" t="s">
        <v>217</v>
      </c>
      <c r="E48" s="89">
        <f>SUM('Приложение 3'!G286)</f>
        <v>500</v>
      </c>
      <c r="F48" s="89">
        <f>SUM('Приложение 3'!H286)</f>
        <v>290.097</v>
      </c>
      <c r="G48" s="88">
        <f t="shared" si="0"/>
        <v>58.0194</v>
      </c>
    </row>
    <row r="49" spans="1:7" ht="80.25" customHeight="1">
      <c r="A49" s="86" t="s">
        <v>247</v>
      </c>
      <c r="B49" s="61" t="s">
        <v>8</v>
      </c>
      <c r="C49" s="61" t="s">
        <v>10</v>
      </c>
      <c r="D49" s="61" t="s">
        <v>2</v>
      </c>
      <c r="E49" s="90">
        <f>SUM('Приложение 3'!G287)</f>
        <v>500</v>
      </c>
      <c r="F49" s="90">
        <f>SUM('Приложение 3'!H287)</f>
        <v>290.097</v>
      </c>
      <c r="G49" s="88">
        <f t="shared" si="0"/>
        <v>58.0194</v>
      </c>
    </row>
    <row r="50" spans="1:7" ht="29.25" customHeight="1">
      <c r="A50" s="76" t="str">
        <f>'Приложение 3'!A69</f>
        <v>Муниципальная программа "Маршрут Победы на 2016-2018 годы"</v>
      </c>
      <c r="B50" s="60" t="s">
        <v>11</v>
      </c>
      <c r="C50" s="60" t="s">
        <v>10</v>
      </c>
      <c r="D50" s="60" t="s">
        <v>217</v>
      </c>
      <c r="E50" s="89">
        <f>SUM('Приложение 3'!G69)</f>
        <v>75</v>
      </c>
      <c r="F50" s="89">
        <f>SUM('Приложение 3'!H69)</f>
        <v>73.066</v>
      </c>
      <c r="G50" s="88">
        <f t="shared" si="0"/>
        <v>97.42133333333334</v>
      </c>
    </row>
    <row r="51" spans="1:7" ht="30" customHeight="1">
      <c r="A51" s="86" t="s">
        <v>278</v>
      </c>
      <c r="B51" s="61" t="s">
        <v>11</v>
      </c>
      <c r="C51" s="61" t="s">
        <v>10</v>
      </c>
      <c r="D51" s="61" t="s">
        <v>2</v>
      </c>
      <c r="E51" s="90">
        <f>SUM('Приложение 3'!G70)</f>
        <v>75</v>
      </c>
      <c r="F51" s="90">
        <f>SUM('Приложение 3'!H70)</f>
        <v>73.066</v>
      </c>
      <c r="G51" s="88">
        <f t="shared" si="0"/>
        <v>97.42133333333334</v>
      </c>
    </row>
    <row r="52" spans="1:7" ht="51" customHeight="1">
      <c r="A52" s="85" t="str">
        <f>'Приложение 3'!A176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52" s="60" t="s">
        <v>20</v>
      </c>
      <c r="C52" s="60" t="s">
        <v>10</v>
      </c>
      <c r="D52" s="60" t="s">
        <v>217</v>
      </c>
      <c r="E52" s="89">
        <f>SUM('Приложение 3'!G176+'Приложение 3'!G207+'Приложение 3'!G260)</f>
        <v>150.5</v>
      </c>
      <c r="F52" s="89">
        <f>SUM('Приложение 3'!H176+'Приложение 3'!H207+'Приложение 3'!H260)</f>
        <v>73.026</v>
      </c>
      <c r="G52" s="88">
        <f t="shared" si="0"/>
        <v>48.52225913621262</v>
      </c>
    </row>
    <row r="53" spans="1:7" ht="33.75" customHeight="1">
      <c r="A53" s="86" t="s">
        <v>248</v>
      </c>
      <c r="B53" s="61" t="s">
        <v>20</v>
      </c>
      <c r="C53" s="61" t="s">
        <v>10</v>
      </c>
      <c r="D53" s="61" t="s">
        <v>2</v>
      </c>
      <c r="E53" s="89">
        <f>SUM('Приложение 3'!G177+'Приложение 3'!G208+'Приложение 3'!G261)</f>
        <v>150.5</v>
      </c>
      <c r="F53" s="89">
        <f>SUM('Приложение 3'!H177+'Приложение 3'!H208+'Приложение 3'!H261)</f>
        <v>73.026</v>
      </c>
      <c r="G53" s="88">
        <f t="shared" si="0"/>
        <v>48.52225913621262</v>
      </c>
    </row>
    <row r="54" spans="1:7" ht="40.5" customHeight="1">
      <c r="A54" s="85" t="str">
        <f>'Приложение 3'!A313</f>
        <v>Муниципальная программа "Развитие физической культуры и спорта в Алексеевском муниципальном районе на 2016-2018 годы"</v>
      </c>
      <c r="B54" s="60" t="s">
        <v>21</v>
      </c>
      <c r="C54" s="60" t="s">
        <v>10</v>
      </c>
      <c r="D54" s="60" t="s">
        <v>217</v>
      </c>
      <c r="E54" s="89">
        <f>SUM(E55:E56)</f>
        <v>3289.2</v>
      </c>
      <c r="F54" s="89">
        <f>SUM(F55:F56)</f>
        <v>2955.2027300000004</v>
      </c>
      <c r="G54" s="88">
        <f t="shared" si="0"/>
        <v>89.84563814909401</v>
      </c>
    </row>
    <row r="55" spans="1:7" ht="51.75" customHeight="1">
      <c r="A55" s="86" t="s">
        <v>249</v>
      </c>
      <c r="B55" s="61" t="s">
        <v>21</v>
      </c>
      <c r="C55" s="61" t="s">
        <v>10</v>
      </c>
      <c r="D55" s="61" t="s">
        <v>2</v>
      </c>
      <c r="E55" s="90">
        <f>SUM('Приложение 3'!G314)</f>
        <v>700</v>
      </c>
      <c r="F55" s="90">
        <f>SUM('Приложение 3'!H314)</f>
        <v>630.235</v>
      </c>
      <c r="G55" s="88">
        <f t="shared" si="0"/>
        <v>90.03357142857143</v>
      </c>
    </row>
    <row r="56" spans="1:7" ht="38.25" customHeight="1">
      <c r="A56" s="86" t="s">
        <v>314</v>
      </c>
      <c r="B56" s="61" t="s">
        <v>21</v>
      </c>
      <c r="C56" s="61" t="s">
        <v>10</v>
      </c>
      <c r="D56" s="61" t="s">
        <v>6</v>
      </c>
      <c r="E56" s="90">
        <f>SUM('Приложение 3'!G178)</f>
        <v>2589.2</v>
      </c>
      <c r="F56" s="90">
        <f>SUM('Приложение 3'!H178)</f>
        <v>2324.9677300000003</v>
      </c>
      <c r="G56" s="88">
        <f t="shared" si="0"/>
        <v>89.79482967712038</v>
      </c>
    </row>
    <row r="57" spans="1:7" ht="51" customHeight="1">
      <c r="A57" s="85" t="str">
        <f>'Приложение 3'!A110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2017-2019 годы"</v>
      </c>
      <c r="B57" s="60" t="s">
        <v>175</v>
      </c>
      <c r="C57" s="60" t="s">
        <v>10</v>
      </c>
      <c r="D57" s="60" t="s">
        <v>217</v>
      </c>
      <c r="E57" s="89">
        <f>SUM('Приложение 3'!G110)</f>
        <v>16886.76272</v>
      </c>
      <c r="F57" s="89">
        <f>SUM('Приложение 3'!H110)</f>
        <v>9844.634</v>
      </c>
      <c r="G57" s="88">
        <f t="shared" si="0"/>
        <v>58.29793527175231</v>
      </c>
    </row>
    <row r="58" spans="1:7" ht="39.75" customHeight="1">
      <c r="A58" s="86" t="s">
        <v>250</v>
      </c>
      <c r="B58" s="61" t="s">
        <v>175</v>
      </c>
      <c r="C58" s="61" t="s">
        <v>10</v>
      </c>
      <c r="D58" s="61" t="s">
        <v>2</v>
      </c>
      <c r="E58" s="90">
        <f>SUM('Приложение 3'!G110)</f>
        <v>16886.76272</v>
      </c>
      <c r="F58" s="90">
        <f>SUM('Приложение 3'!H110)</f>
        <v>9844.634</v>
      </c>
      <c r="G58" s="88">
        <f t="shared" si="0"/>
        <v>58.29793527175231</v>
      </c>
    </row>
    <row r="59" spans="1:7" ht="54" customHeight="1">
      <c r="A59" s="85" t="str">
        <f>'Приложение 3'!A71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59" s="60" t="s">
        <v>178</v>
      </c>
      <c r="C59" s="60" t="s">
        <v>10</v>
      </c>
      <c r="D59" s="60" t="s">
        <v>217</v>
      </c>
      <c r="E59" s="89">
        <f>SUM('Приложение 3'!G71)</f>
        <v>100</v>
      </c>
      <c r="F59" s="89">
        <f>SUM('Приложение 3'!H71)</f>
        <v>0</v>
      </c>
      <c r="G59" s="88">
        <f t="shared" si="0"/>
        <v>0</v>
      </c>
    </row>
    <row r="60" spans="1:7" ht="62.25" customHeight="1">
      <c r="A60" s="86" t="s">
        <v>251</v>
      </c>
      <c r="B60" s="61" t="s">
        <v>178</v>
      </c>
      <c r="C60" s="61" t="s">
        <v>10</v>
      </c>
      <c r="D60" s="61" t="s">
        <v>2</v>
      </c>
      <c r="E60" s="90">
        <f>SUM('Приложение 3'!G72)</f>
        <v>100</v>
      </c>
      <c r="F60" s="90">
        <f>SUM('Приложение 3'!H72)</f>
        <v>0</v>
      </c>
      <c r="G60" s="88">
        <f t="shared" si="0"/>
        <v>0</v>
      </c>
    </row>
    <row r="61" spans="1:7" ht="108" customHeight="1">
      <c r="A61" s="85" t="str">
        <f>'Приложение 3'!A158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61" s="60" t="s">
        <v>282</v>
      </c>
      <c r="C61" s="60" t="s">
        <v>10</v>
      </c>
      <c r="D61" s="60" t="s">
        <v>217</v>
      </c>
      <c r="E61" s="89">
        <f>SUM(E62)</f>
        <v>206.09999999999997</v>
      </c>
      <c r="F61" s="89">
        <f>SUM(F62)</f>
        <v>10.176</v>
      </c>
      <c r="G61" s="88">
        <f t="shared" si="0"/>
        <v>4.9374090247452695</v>
      </c>
    </row>
    <row r="62" spans="1:7" ht="73.5" customHeight="1">
      <c r="A62" s="86" t="s">
        <v>283</v>
      </c>
      <c r="B62" s="61" t="s">
        <v>282</v>
      </c>
      <c r="C62" s="61" t="s">
        <v>10</v>
      </c>
      <c r="D62" s="61" t="s">
        <v>2</v>
      </c>
      <c r="E62" s="90">
        <f>SUM('Приложение 3'!G159+'Приложение 3'!G183)</f>
        <v>206.09999999999997</v>
      </c>
      <c r="F62" s="90">
        <f>SUM('Приложение 3'!H159+'Приложение 3'!H183)</f>
        <v>10.176</v>
      </c>
      <c r="G62" s="88">
        <f t="shared" si="0"/>
        <v>4.9374090247452695</v>
      </c>
    </row>
    <row r="63" spans="1:7" ht="40.5" customHeight="1">
      <c r="A63" s="85" t="str">
        <f>'Приложение 3'!A73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63" s="60" t="s">
        <v>232</v>
      </c>
      <c r="C63" s="60">
        <f>'Приложение 3'!E129</f>
        <v>0</v>
      </c>
      <c r="D63" s="60" t="s">
        <v>217</v>
      </c>
      <c r="E63" s="89">
        <f>SUM('Приложение 3'!G73)</f>
        <v>50</v>
      </c>
      <c r="F63" s="89">
        <f>SUM('Приложение 3'!H73)</f>
        <v>0</v>
      </c>
      <c r="G63" s="88">
        <f t="shared" si="0"/>
        <v>0</v>
      </c>
    </row>
    <row r="64" spans="1:7" ht="26.25" customHeight="1">
      <c r="A64" s="86" t="s">
        <v>252</v>
      </c>
      <c r="B64" s="61" t="s">
        <v>232</v>
      </c>
      <c r="C64" s="61" t="s">
        <v>10</v>
      </c>
      <c r="D64" s="61" t="s">
        <v>2</v>
      </c>
      <c r="E64" s="90">
        <f>SUM('Приложение 3'!G74)</f>
        <v>50</v>
      </c>
      <c r="F64" s="90">
        <f>SUM('Приложение 3'!H74)</f>
        <v>0</v>
      </c>
      <c r="G64" s="88">
        <f t="shared" si="0"/>
        <v>0</v>
      </c>
    </row>
    <row r="65" spans="1:7" ht="42" customHeight="1">
      <c r="A65" s="85" t="str">
        <f>'Приложение 3'!A140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65" s="60" t="s">
        <v>234</v>
      </c>
      <c r="C65" s="60" t="s">
        <v>10</v>
      </c>
      <c r="D65" s="60" t="s">
        <v>217</v>
      </c>
      <c r="E65" s="89">
        <f>SUM('Приложение 3'!G140)</f>
        <v>0</v>
      </c>
      <c r="F65" s="89">
        <f>SUM('Приложение 3'!H140)</f>
        <v>0</v>
      </c>
      <c r="G65" s="88">
        <v>0</v>
      </c>
    </row>
    <row r="66" spans="1:7" ht="32.25" customHeight="1">
      <c r="A66" s="86" t="s">
        <v>253</v>
      </c>
      <c r="B66" s="61" t="s">
        <v>234</v>
      </c>
      <c r="C66" s="61" t="s">
        <v>10</v>
      </c>
      <c r="D66" s="61" t="s">
        <v>6</v>
      </c>
      <c r="E66" s="90">
        <f>SUM('Приложение 3'!G141)</f>
        <v>0</v>
      </c>
      <c r="F66" s="90">
        <f>SUM('Приложение 3'!H141)</f>
        <v>0</v>
      </c>
      <c r="G66" s="88">
        <v>0</v>
      </c>
    </row>
    <row r="67" spans="1:9" ht="12.75">
      <c r="A67" s="75" t="s">
        <v>114</v>
      </c>
      <c r="B67" s="61"/>
      <c r="C67" s="62"/>
      <c r="D67" s="84"/>
      <c r="E67" s="89">
        <f>SUM(E9+E11+E21+E25+E29+E42+E44+E46+E48+E50+E52+E54+E57+E59+E61+E63+E65+E38+E27+E40)</f>
        <v>68528.06619999999</v>
      </c>
      <c r="F67" s="89">
        <f>SUM(F9+F11+F21+F25+F29+F42+F44+F46+F48+F50+F52+F54+F57+F59+F61+F63+F65+F38+F27+F40)</f>
        <v>30472.35531</v>
      </c>
      <c r="G67" s="88">
        <f t="shared" si="0"/>
        <v>44.46697097954882</v>
      </c>
      <c r="H67" s="34">
        <f>SUM(E67+'Таблица №12'!E36)</f>
        <v>260904.5942</v>
      </c>
      <c r="I67" s="34">
        <f>SUM(F67+'Таблица №12'!F36)</f>
        <v>196342.99695999996</v>
      </c>
    </row>
    <row r="68" ht="15">
      <c r="D68" s="19"/>
    </row>
    <row r="69" ht="15">
      <c r="D69" s="19"/>
    </row>
    <row r="70" spans="1:7" s="15" customFormat="1" ht="15">
      <c r="A70" s="7"/>
      <c r="B70" s="12"/>
      <c r="C70" s="13"/>
      <c r="D70" s="19"/>
      <c r="G70" s="2"/>
    </row>
    <row r="71" spans="1:7" s="15" customFormat="1" ht="15">
      <c r="A71" s="7"/>
      <c r="B71" s="12"/>
      <c r="C71" s="13"/>
      <c r="D71" s="19"/>
      <c r="G71" s="2"/>
    </row>
    <row r="72" ht="15">
      <c r="D72" s="19"/>
    </row>
    <row r="73" ht="15">
      <c r="D73" s="19"/>
    </row>
  </sheetData>
  <sheetProtection/>
  <mergeCells count="6">
    <mergeCell ref="A5:G5"/>
    <mergeCell ref="F7:G7"/>
    <mergeCell ref="E4:F4"/>
    <mergeCell ref="E1:F1"/>
    <mergeCell ref="E2:F2"/>
    <mergeCell ref="E3:F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6"/>
  <sheetViews>
    <sheetView showGridLines="0" zoomScalePageLayoutView="0" workbookViewId="0" topLeftCell="A1">
      <pane ySplit="8" topLeftCell="BM18" activePane="bottomLeft" state="frozen"/>
      <selection pane="topLeft" activeCell="A1" sqref="A1"/>
      <selection pane="bottomLeft" activeCell="E24" sqref="E24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28125" style="11" customWidth="1"/>
    <col min="5" max="5" width="12.8515625" style="15" customWidth="1"/>
    <col min="6" max="6" width="13.00390625" style="15" customWidth="1"/>
    <col min="7" max="7" width="10.28125" style="2" customWidth="1"/>
    <col min="8" max="16384" width="9.140625" style="2" customWidth="1"/>
  </cols>
  <sheetData>
    <row r="1" spans="5:7" ht="18.75">
      <c r="E1" s="110"/>
      <c r="F1" s="110"/>
      <c r="G1" s="23"/>
    </row>
    <row r="2" spans="5:7" ht="18.75">
      <c r="E2" s="110"/>
      <c r="F2" s="110"/>
      <c r="G2" s="23"/>
    </row>
    <row r="3" spans="5:7" ht="18.75">
      <c r="E3" s="110"/>
      <c r="F3" s="110"/>
      <c r="G3" s="23"/>
    </row>
    <row r="4" spans="1:7" ht="21.75" customHeight="1">
      <c r="A4" s="8"/>
      <c r="B4" s="1"/>
      <c r="C4" s="5"/>
      <c r="D4" s="10"/>
      <c r="E4" s="110"/>
      <c r="F4" s="110"/>
      <c r="G4" s="23"/>
    </row>
    <row r="5" spans="1:7" ht="53.25" customHeight="1">
      <c r="A5" s="115" t="s">
        <v>296</v>
      </c>
      <c r="B5" s="115"/>
      <c r="C5" s="115"/>
      <c r="D5" s="115"/>
      <c r="E5" s="115"/>
      <c r="F5" s="115"/>
      <c r="G5" s="115"/>
    </row>
    <row r="6" spans="1:6" ht="12.75" hidden="1">
      <c r="A6" s="39"/>
      <c r="B6" s="40"/>
      <c r="C6" s="41"/>
      <c r="D6" s="43"/>
      <c r="E6" s="42"/>
      <c r="F6" s="42"/>
    </row>
    <row r="7" spans="1:7" ht="12.75">
      <c r="A7" s="39"/>
      <c r="B7" s="40"/>
      <c r="C7" s="41"/>
      <c r="D7" s="43"/>
      <c r="E7" s="42"/>
      <c r="F7" s="117" t="s">
        <v>177</v>
      </c>
      <c r="G7" s="117"/>
    </row>
    <row r="8" spans="1:7" ht="81" customHeight="1">
      <c r="A8" s="50" t="s">
        <v>1</v>
      </c>
      <c r="B8" s="53" t="s">
        <v>302</v>
      </c>
      <c r="C8" s="54" t="s">
        <v>9</v>
      </c>
      <c r="D8" s="56" t="s">
        <v>207</v>
      </c>
      <c r="E8" s="49" t="s">
        <v>289</v>
      </c>
      <c r="F8" s="49" t="s">
        <v>329</v>
      </c>
      <c r="G8" s="49" t="s">
        <v>328</v>
      </c>
    </row>
    <row r="9" spans="1:7" ht="90.75" customHeight="1">
      <c r="A9" s="74" t="str">
        <f>'Приложение 3'!A75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9" s="63" t="s">
        <v>19</v>
      </c>
      <c r="C9" s="64">
        <v>0</v>
      </c>
      <c r="D9" s="65"/>
      <c r="E9" s="91">
        <f>SUM(E10)</f>
        <v>4028.8</v>
      </c>
      <c r="F9" s="91">
        <f>SUM(F10)</f>
        <v>3773.93093</v>
      </c>
      <c r="G9" s="88">
        <f aca="true" t="shared" si="0" ref="G9:G36">SUM(F9/E9)*100</f>
        <v>93.67382173351866</v>
      </c>
    </row>
    <row r="10" spans="1:7" ht="27" customHeight="1">
      <c r="A10" s="75" t="str">
        <f>'Приложение 3'!A76</f>
        <v>Предоставление субсидий бюджетным, автономным учреждениям и иным некоммерческим организациям</v>
      </c>
      <c r="B10" s="61" t="s">
        <v>19</v>
      </c>
      <c r="C10" s="62">
        <v>0</v>
      </c>
      <c r="D10" s="66">
        <v>600</v>
      </c>
      <c r="E10" s="92">
        <f>SUM('Приложение 3'!G76)</f>
        <v>4028.8</v>
      </c>
      <c r="F10" s="92">
        <f>SUM('Приложение 3'!H76)</f>
        <v>3773.93093</v>
      </c>
      <c r="G10" s="88">
        <f t="shared" si="0"/>
        <v>93.67382173351866</v>
      </c>
    </row>
    <row r="11" spans="1:7" ht="74.25" customHeight="1" outlineLevel="5">
      <c r="A11" s="76" t="str">
        <f>'Приложение 3'!A77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11" s="60" t="s">
        <v>15</v>
      </c>
      <c r="C11" s="60" t="s">
        <v>10</v>
      </c>
      <c r="D11" s="60"/>
      <c r="E11" s="89">
        <f>SUM(E12)</f>
        <v>23500</v>
      </c>
      <c r="F11" s="89">
        <f>SUM(F12)</f>
        <v>20703.00821</v>
      </c>
      <c r="G11" s="88">
        <f t="shared" si="0"/>
        <v>88.09790727659575</v>
      </c>
    </row>
    <row r="12" spans="1:7" ht="30.75" customHeight="1" outlineLevel="2">
      <c r="A12" s="75" t="str">
        <f>'Приложение 3'!A78</f>
        <v>Предоставление субсидий бюджетным, автономным учреждениям и иным некоммерческим организациям</v>
      </c>
      <c r="B12" s="61" t="s">
        <v>15</v>
      </c>
      <c r="C12" s="61" t="s">
        <v>10</v>
      </c>
      <c r="D12" s="61" t="s">
        <v>214</v>
      </c>
      <c r="E12" s="90">
        <f>SUM('Приложение 3'!G78)</f>
        <v>23500</v>
      </c>
      <c r="F12" s="90">
        <f>SUM('Приложение 3'!H78)</f>
        <v>20703.00821</v>
      </c>
      <c r="G12" s="88">
        <f t="shared" si="0"/>
        <v>88.09790727659575</v>
      </c>
    </row>
    <row r="13" spans="1:7" ht="48" outlineLevel="1">
      <c r="A13" s="76" t="str">
        <f>'Приложение 3'!A160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3" s="60" t="str">
        <f>'Приложение 3'!D160</f>
        <v>52</v>
      </c>
      <c r="C13" s="60">
        <f>'Приложение 3'!E160</f>
        <v>0</v>
      </c>
      <c r="D13" s="60"/>
      <c r="E13" s="89">
        <f>SUM(E14)</f>
        <v>26046.219879999993</v>
      </c>
      <c r="F13" s="89">
        <f>SUM(F14)</f>
        <v>22681.790499999996</v>
      </c>
      <c r="G13" s="88">
        <f t="shared" si="0"/>
        <v>87.08284965918057</v>
      </c>
    </row>
    <row r="14" spans="1:7" ht="31.5" customHeight="1" outlineLevel="1">
      <c r="A14" s="75" t="str">
        <f>'Приложение 3'!A161</f>
        <v>Предоставление субсидий бюджетным, автономным учреждениям и иным некоммерческим организациям</v>
      </c>
      <c r="B14" s="61" t="str">
        <f>'Приложение 3'!D161</f>
        <v>52</v>
      </c>
      <c r="C14" s="61">
        <f>'Приложение 3'!E161</f>
        <v>0</v>
      </c>
      <c r="D14" s="61" t="s">
        <v>214</v>
      </c>
      <c r="E14" s="90">
        <f>SUM('Приложение 3'!G160)</f>
        <v>26046.219879999993</v>
      </c>
      <c r="F14" s="90">
        <f>SUM('Приложение 3'!H160)</f>
        <v>22681.790499999996</v>
      </c>
      <c r="G14" s="88">
        <f t="shared" si="0"/>
        <v>87.08284965918057</v>
      </c>
    </row>
    <row r="15" spans="1:7" ht="36" outlineLevel="5">
      <c r="A15" s="76" t="str">
        <f>'Приложение 3'!A184</f>
        <v>Ведомственная целевая программа "Развитие общего образования детей на  территории  Алексеевского муниципального района на 2017-2019 годы"</v>
      </c>
      <c r="B15" s="60" t="str">
        <f>'Приложение 3'!D184</f>
        <v>53</v>
      </c>
      <c r="C15" s="60">
        <f>'Приложение 3'!E184</f>
        <v>0</v>
      </c>
      <c r="D15" s="60"/>
      <c r="E15" s="89">
        <f>SUM(E16:E19)</f>
        <v>108528.66511999999</v>
      </c>
      <c r="F15" s="89">
        <f>SUM(F16:F19)</f>
        <v>94385.03786</v>
      </c>
      <c r="G15" s="88">
        <f t="shared" si="0"/>
        <v>86.96784186522389</v>
      </c>
    </row>
    <row r="16" spans="1:7" ht="49.5" customHeight="1" outlineLevel="5">
      <c r="A16" s="75" t="str">
        <f>'Приложение 3'!A186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1" t="s">
        <v>23</v>
      </c>
      <c r="C16" s="61" t="s">
        <v>10</v>
      </c>
      <c r="D16" s="61" t="s">
        <v>212</v>
      </c>
      <c r="E16" s="90">
        <f>SUM('Приложение 3'!G186+'Приложение 3'!G191+'Приложение 3'!G192)</f>
        <v>5053.48631</v>
      </c>
      <c r="F16" s="90">
        <f>SUM('Приложение 3'!H186+'Приложение 3'!H191+'Приложение 3'!H192)</f>
        <v>4210.35667</v>
      </c>
      <c r="G16" s="88">
        <f t="shared" si="0"/>
        <v>83.3158815859145</v>
      </c>
    </row>
    <row r="17" spans="1:7" ht="29.25" customHeight="1" outlineLevel="5">
      <c r="A17" s="75" t="str">
        <f>'Приложение 3'!A187</f>
        <v>Закупка товаров, работ и услуг для государственных (муниципальных) нужд</v>
      </c>
      <c r="B17" s="61" t="s">
        <v>23</v>
      </c>
      <c r="C17" s="61" t="s">
        <v>10</v>
      </c>
      <c r="D17" s="61" t="s">
        <v>176</v>
      </c>
      <c r="E17" s="90">
        <f>SUM('Приложение 3'!G187+'Приложение 3'!G193+'Приложение 3'!G195+'Приложение 3'!G194)</f>
        <v>2036.84569</v>
      </c>
      <c r="F17" s="90">
        <f>SUM('Приложение 3'!H187+'Приложение 3'!H193+'Приложение 3'!H195+'Приложение 3'!H194)</f>
        <v>1112.3991800000001</v>
      </c>
      <c r="G17" s="88">
        <f t="shared" si="0"/>
        <v>54.61381711247847</v>
      </c>
    </row>
    <row r="18" spans="1:7" ht="12.75" customHeight="1" outlineLevel="5">
      <c r="A18" s="75" t="str">
        <f>'Приложение 3'!A188</f>
        <v>Иные бюджетные ассигнования</v>
      </c>
      <c r="B18" s="61" t="s">
        <v>23</v>
      </c>
      <c r="C18" s="61" t="s">
        <v>10</v>
      </c>
      <c r="D18" s="61" t="s">
        <v>213</v>
      </c>
      <c r="E18" s="90">
        <f>SUM('Приложение 3'!G188)</f>
        <v>76.6</v>
      </c>
      <c r="F18" s="90">
        <f>SUM('Приложение 3'!H188)</f>
        <v>31.87129</v>
      </c>
      <c r="G18" s="88">
        <f t="shared" si="0"/>
        <v>41.607428198433425</v>
      </c>
    </row>
    <row r="19" spans="1:7" ht="28.5" customHeight="1" outlineLevel="5">
      <c r="A19" s="75" t="str">
        <f>'Приложение 3'!A189</f>
        <v>Предоставление субсидий бюджетным, автономным учреждениям и иным некоммерческим организациям</v>
      </c>
      <c r="B19" s="61" t="s">
        <v>23</v>
      </c>
      <c r="C19" s="61" t="s">
        <v>10</v>
      </c>
      <c r="D19" s="61" t="s">
        <v>214</v>
      </c>
      <c r="E19" s="90">
        <f>SUM('Приложение 3'!G189+'Приложение 3'!G196+'Приложение 3'!G198+'Приложение 3'!G200+'Приложение 3'!G197+'Приложение 3'!G199)</f>
        <v>101361.73311999999</v>
      </c>
      <c r="F19" s="90">
        <f>SUM('Приложение 3'!H189+'Приложение 3'!H196+'Приложение 3'!H198+'Приложение 3'!H200+'Приложение 3'!H197+'Приложение 3'!H199)</f>
        <v>89030.41072</v>
      </c>
      <c r="G19" s="88">
        <f t="shared" si="0"/>
        <v>87.8343414023898</v>
      </c>
    </row>
    <row r="20" spans="1:7" ht="48" outlineLevel="3">
      <c r="A20" s="76" t="str">
        <f>'Приложение 3'!A209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20" s="60" t="str">
        <f>'Приложение 3'!D209</f>
        <v>54</v>
      </c>
      <c r="C20" s="60">
        <f>'Приложение 3'!E209</f>
        <v>0</v>
      </c>
      <c r="D20" s="60"/>
      <c r="E20" s="89">
        <f>'Приложение 3'!G209</f>
        <v>4300</v>
      </c>
      <c r="F20" s="89">
        <f>'Приложение 3'!H209</f>
        <v>3328.21909</v>
      </c>
      <c r="G20" s="88">
        <f t="shared" si="0"/>
        <v>77.40044395348838</v>
      </c>
    </row>
    <row r="21" spans="1:7" ht="24.75" customHeight="1" outlineLevel="3">
      <c r="A21" s="75" t="str">
        <f>'Приложение 3'!A210</f>
        <v>Предоставление субсидий бюджетным, автономным учреждениям и иным некоммерческим организациям</v>
      </c>
      <c r="B21" s="61" t="str">
        <f>'Приложение 3'!D210</f>
        <v>54</v>
      </c>
      <c r="C21" s="61">
        <f>'Приложение 3'!E210</f>
        <v>0</v>
      </c>
      <c r="D21" s="50">
        <f>'Приложение 3'!F210</f>
        <v>600</v>
      </c>
      <c r="E21" s="90">
        <f>'Приложение 3'!G210</f>
        <v>4300</v>
      </c>
      <c r="F21" s="90">
        <f>'Приложение 3'!H210</f>
        <v>3328.21909</v>
      </c>
      <c r="G21" s="88">
        <f t="shared" si="0"/>
        <v>77.40044395348838</v>
      </c>
    </row>
    <row r="22" spans="1:7" ht="54" customHeight="1" outlineLevel="3">
      <c r="A22" s="76" t="str">
        <f>'Приложение 3'!A211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22" s="60" t="str">
        <f>'Приложение 3'!D211</f>
        <v>55</v>
      </c>
      <c r="C22" s="60">
        <f>'Приложение 3'!E211</f>
        <v>0</v>
      </c>
      <c r="D22" s="60"/>
      <c r="E22" s="89">
        <f>'Приложение 3'!G211</f>
        <v>5597.5</v>
      </c>
      <c r="F22" s="89">
        <f>'Приложение 3'!H211</f>
        <v>4269.49421</v>
      </c>
      <c r="G22" s="88">
        <f t="shared" si="0"/>
        <v>76.27501938365342</v>
      </c>
    </row>
    <row r="23" spans="1:7" ht="24" outlineLevel="3">
      <c r="A23" s="75" t="str">
        <f>'Приложение 3'!A212</f>
        <v>Предоставление субсидий бюджетным, автономным учреждениям и иным некоммерческим организациям</v>
      </c>
      <c r="B23" s="61" t="str">
        <f>'Приложение 3'!D212</f>
        <v>55</v>
      </c>
      <c r="C23" s="61">
        <f>'Приложение 3'!E212</f>
        <v>0</v>
      </c>
      <c r="D23" s="50">
        <f>'Приложение 3'!F212</f>
        <v>600</v>
      </c>
      <c r="E23" s="90">
        <f>'Приложение 3'!G212</f>
        <v>5582.5</v>
      </c>
      <c r="F23" s="90">
        <f>'Приложение 3'!H212</f>
        <v>4260.49589</v>
      </c>
      <c r="G23" s="88">
        <f t="shared" si="0"/>
        <v>76.31877993730409</v>
      </c>
    </row>
    <row r="24" spans="1:7" ht="36" outlineLevel="3">
      <c r="A24" s="77" t="str">
        <f>'Приложение 3'!A230</f>
        <v>Ведомственная целевая программа "Молодежная политика  на территории Алексеевского муниципального района на 2016-2018 годы" (СДЦ)</v>
      </c>
      <c r="B24" s="60" t="str">
        <f>'Приложение 3'!D230</f>
        <v>56</v>
      </c>
      <c r="C24" s="60">
        <f>'Приложение 3'!E230</f>
        <v>0</v>
      </c>
      <c r="D24" s="60"/>
      <c r="E24" s="89">
        <f>SUM(E25)</f>
        <v>3567.5</v>
      </c>
      <c r="F24" s="89">
        <f>SUM(F25)</f>
        <v>2943.85397</v>
      </c>
      <c r="G24" s="88">
        <f t="shared" si="0"/>
        <v>82.51868170988087</v>
      </c>
    </row>
    <row r="25" spans="1:7" ht="24" outlineLevel="3">
      <c r="A25" s="73" t="str">
        <f>'Приложение 3'!A231</f>
        <v>Предоставление субсидий бюджетным, автономным учреждениям и иным некоммерческим организациям</v>
      </c>
      <c r="B25" s="61" t="str">
        <f>'Приложение 3'!D231</f>
        <v>56</v>
      </c>
      <c r="C25" s="61">
        <f>'Приложение 3'!E231</f>
        <v>0</v>
      </c>
      <c r="D25" s="61">
        <f>'Приложение 3'!F231</f>
        <v>600</v>
      </c>
      <c r="E25" s="90">
        <f>SUM('Приложение 3'!G230)</f>
        <v>3567.5</v>
      </c>
      <c r="F25" s="90">
        <f>SUM('Приложение 3'!H230)</f>
        <v>2943.85397</v>
      </c>
      <c r="G25" s="88">
        <f t="shared" si="0"/>
        <v>82.51868170988087</v>
      </c>
    </row>
    <row r="26" spans="1:7" s="16" customFormat="1" ht="63.75" customHeight="1" outlineLevel="2">
      <c r="A26" s="77" t="str">
        <f>'Приложение 3'!A232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6" s="60" t="str">
        <f>'Приложение 3'!D232</f>
        <v>57</v>
      </c>
      <c r="C26" s="60">
        <f>'Приложение 3'!E232</f>
        <v>0</v>
      </c>
      <c r="D26" s="60"/>
      <c r="E26" s="89">
        <f>SUM(E27)</f>
        <v>1650</v>
      </c>
      <c r="F26" s="89">
        <f>SUM(F27)</f>
        <v>1513.2602</v>
      </c>
      <c r="G26" s="88">
        <f t="shared" si="0"/>
        <v>91.71273939393939</v>
      </c>
    </row>
    <row r="27" spans="1:7" s="16" customFormat="1" ht="24" outlineLevel="2">
      <c r="A27" s="73" t="str">
        <f>'Приложение 3'!A233</f>
        <v>Предоставление субсидий бюджетным, автономным учреждениям и иным некоммерческим организациям</v>
      </c>
      <c r="B27" s="61" t="str">
        <f>'Приложение 3'!D233</f>
        <v>57</v>
      </c>
      <c r="C27" s="61">
        <f>'Приложение 3'!E233</f>
        <v>0</v>
      </c>
      <c r="D27" s="61">
        <f>'Приложение 3'!F233</f>
        <v>600</v>
      </c>
      <c r="E27" s="90">
        <f>SUM('Приложение 3'!G232)</f>
        <v>1650</v>
      </c>
      <c r="F27" s="90">
        <f>SUM('Приложение 3'!H232)</f>
        <v>1513.2602</v>
      </c>
      <c r="G27" s="88">
        <f t="shared" si="0"/>
        <v>91.71273939393939</v>
      </c>
    </row>
    <row r="28" spans="1:7" ht="48" outlineLevel="3">
      <c r="A28" s="77" t="str">
        <f>'Приложение 3'!A242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8" s="60" t="str">
        <f>'Приложение 3'!D242</f>
        <v>58</v>
      </c>
      <c r="C28" s="60">
        <f>'Приложение 3'!E242</f>
        <v>0</v>
      </c>
      <c r="D28" s="60"/>
      <c r="E28" s="89">
        <f>SUM(E29:E31)</f>
        <v>625</v>
      </c>
      <c r="F28" s="89">
        <f>SUM(F29:F31)</f>
        <v>532.8680400000001</v>
      </c>
      <c r="G28" s="88">
        <f t="shared" si="0"/>
        <v>85.25888640000001</v>
      </c>
    </row>
    <row r="29" spans="1:7" ht="48" outlineLevel="3">
      <c r="A29" s="73" t="str">
        <f>'Приложение 3'!A243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61" t="s">
        <v>28</v>
      </c>
      <c r="C29" s="61" t="s">
        <v>10</v>
      </c>
      <c r="D29" s="61" t="s">
        <v>212</v>
      </c>
      <c r="E29" s="90">
        <f>SUM('Приложение 3'!G243)</f>
        <v>565</v>
      </c>
      <c r="F29" s="90">
        <f>SUM('Приложение 3'!H243)</f>
        <v>479.35976</v>
      </c>
      <c r="G29" s="88">
        <f t="shared" si="0"/>
        <v>84.8424353982301</v>
      </c>
    </row>
    <row r="30" spans="1:7" ht="24" outlineLevel="3">
      <c r="A30" s="73" t="str">
        <f>'Приложение 3'!A244</f>
        <v>Закупка товаров, работ и услуг для государственных (муниципальных) нужд</v>
      </c>
      <c r="B30" s="61" t="s">
        <v>28</v>
      </c>
      <c r="C30" s="61" t="s">
        <v>10</v>
      </c>
      <c r="D30" s="61" t="s">
        <v>176</v>
      </c>
      <c r="E30" s="90">
        <f>SUM('Приложение 3'!G244)</f>
        <v>59.8</v>
      </c>
      <c r="F30" s="90">
        <f>SUM('Приложение 3'!H244)</f>
        <v>53.5</v>
      </c>
      <c r="G30" s="88">
        <f t="shared" si="0"/>
        <v>89.46488294314382</v>
      </c>
    </row>
    <row r="31" spans="1:7" ht="12.75" outlineLevel="3">
      <c r="A31" s="73" t="str">
        <f>'Приложение 3'!A245</f>
        <v>Иные бюджетные ассигнования</v>
      </c>
      <c r="B31" s="61" t="s">
        <v>28</v>
      </c>
      <c r="C31" s="61" t="s">
        <v>10</v>
      </c>
      <c r="D31" s="61" t="s">
        <v>213</v>
      </c>
      <c r="E31" s="90">
        <f>SUM('Приложение 3'!G245)</f>
        <v>0.2</v>
      </c>
      <c r="F31" s="90">
        <f>SUM('Приложение 3'!H245)</f>
        <v>0.00828</v>
      </c>
      <c r="G31" s="88">
        <f t="shared" si="0"/>
        <v>4.139999999999999</v>
      </c>
    </row>
    <row r="32" spans="1:7" ht="36" outlineLevel="5">
      <c r="A32" s="77" t="str">
        <f>'Приложение 3'!A262</f>
        <v>Ведомственная целевая программа "Развитие культуры и искусства в Алексеевском муниципальном районе на 2016-2018 годы"</v>
      </c>
      <c r="B32" s="60" t="str">
        <f>'Приложение 3'!D262</f>
        <v>59</v>
      </c>
      <c r="C32" s="60">
        <f>'Приложение 3'!E262</f>
        <v>0</v>
      </c>
      <c r="D32" s="60"/>
      <c r="E32" s="89">
        <f>SUM(E33)</f>
        <v>12173</v>
      </c>
      <c r="F32" s="89">
        <f>SUM(F33)</f>
        <v>9639.335640000001</v>
      </c>
      <c r="G32" s="88">
        <f t="shared" si="0"/>
        <v>79.18619600755773</v>
      </c>
    </row>
    <row r="33" spans="1:7" ht="24" outlineLevel="5">
      <c r="A33" s="73" t="str">
        <f>'Приложение 3'!A264</f>
        <v>Предоставление субсидий бюджетным, автономным учреждениям и иным некоммерческим организациям</v>
      </c>
      <c r="B33" s="61" t="s">
        <v>29</v>
      </c>
      <c r="C33" s="61" t="s">
        <v>10</v>
      </c>
      <c r="D33" s="61" t="s">
        <v>214</v>
      </c>
      <c r="E33" s="90">
        <f>SUM('Приложение 3'!G262)</f>
        <v>12173</v>
      </c>
      <c r="F33" s="90">
        <f>SUM('Приложение 3'!H262)</f>
        <v>9639.335640000001</v>
      </c>
      <c r="G33" s="88">
        <f t="shared" si="0"/>
        <v>79.18619600755773</v>
      </c>
    </row>
    <row r="34" spans="1:7" ht="36">
      <c r="A34" s="76" t="str">
        <f>'Приложение 3'!A318</f>
        <v>Ведомственная целевая программа "Поддержка средств массовой информации  в Алексеевском муниципальном районе на 2016-2018 годы"</v>
      </c>
      <c r="B34" s="60" t="str">
        <f>'Приложение 3'!D318</f>
        <v>61</v>
      </c>
      <c r="C34" s="60">
        <f>'Приложение 3'!E318</f>
        <v>0</v>
      </c>
      <c r="D34" s="60"/>
      <c r="E34" s="89">
        <f>SUM(E35)</f>
        <v>2359.843</v>
      </c>
      <c r="F34" s="89">
        <f>SUM(F35)</f>
        <v>2099.843</v>
      </c>
      <c r="G34" s="88">
        <f t="shared" si="0"/>
        <v>88.98231789148684</v>
      </c>
    </row>
    <row r="35" spans="1:7" ht="24">
      <c r="A35" s="75" t="str">
        <f>'Приложение 3'!A319</f>
        <v>Предоставление субсидий бюджетным, автономным учреждениям и иным некоммерческим организациям</v>
      </c>
      <c r="B35" s="61" t="str">
        <f>'Приложение 3'!D319</f>
        <v>61</v>
      </c>
      <c r="C35" s="61">
        <f>'Приложение 3'!E319</f>
        <v>0</v>
      </c>
      <c r="D35" s="61">
        <f>'Приложение 3'!F319</f>
        <v>600</v>
      </c>
      <c r="E35" s="90">
        <f>'Приложение 3'!G318</f>
        <v>2359.843</v>
      </c>
      <c r="F35" s="90">
        <f>'Приложение 3'!H318</f>
        <v>2099.843</v>
      </c>
      <c r="G35" s="88">
        <f t="shared" si="0"/>
        <v>88.98231789148684</v>
      </c>
    </row>
    <row r="36" spans="1:9" ht="12.75">
      <c r="A36" s="76" t="s">
        <v>114</v>
      </c>
      <c r="B36" s="60"/>
      <c r="C36" s="67"/>
      <c r="D36" s="68"/>
      <c r="E36" s="89">
        <f>SUM(E9+E11+E13+E15+E20+E22+E24+E26+E28+E32+E34)</f>
        <v>192376.528</v>
      </c>
      <c r="F36" s="89">
        <f>SUM(F9+F11+F13+F15+F20+F22+F24+F26+F28+F32+F34)</f>
        <v>165870.64164999998</v>
      </c>
      <c r="G36" s="88">
        <f t="shared" si="0"/>
        <v>86.22187091868088</v>
      </c>
      <c r="H36" s="28"/>
      <c r="I36" s="28"/>
    </row>
    <row r="37" spans="4:6" ht="15">
      <c r="D37" s="19"/>
      <c r="E37" s="27"/>
      <c r="F37" s="27"/>
    </row>
    <row r="38" ht="15">
      <c r="D38" s="19"/>
    </row>
    <row r="39" ht="15">
      <c r="D39" s="19"/>
    </row>
    <row r="40" ht="15">
      <c r="D40" s="19"/>
    </row>
    <row r="41" ht="15">
      <c r="D41" s="19"/>
    </row>
    <row r="42" ht="15">
      <c r="D42" s="19"/>
    </row>
    <row r="43" ht="15">
      <c r="D43" s="19"/>
    </row>
    <row r="44" ht="15">
      <c r="D44" s="19"/>
    </row>
    <row r="45" spans="1:10" s="15" customFormat="1" ht="15">
      <c r="A45" s="7"/>
      <c r="B45" s="12"/>
      <c r="C45" s="13"/>
      <c r="D45" s="19"/>
      <c r="G45" s="2"/>
      <c r="H45" s="2"/>
      <c r="I45" s="2"/>
      <c r="J45" s="2"/>
    </row>
    <row r="46" spans="1:10" s="15" customFormat="1" ht="15">
      <c r="A46" s="7"/>
      <c r="B46" s="12"/>
      <c r="C46" s="13"/>
      <c r="D46" s="19"/>
      <c r="G46" s="2"/>
      <c r="H46" s="2"/>
      <c r="I46" s="2"/>
      <c r="J46" s="2"/>
    </row>
  </sheetData>
  <sheetProtection/>
  <mergeCells count="6">
    <mergeCell ref="A5:G5"/>
    <mergeCell ref="F7:G7"/>
    <mergeCell ref="E1:F1"/>
    <mergeCell ref="E2:F2"/>
    <mergeCell ref="E3:F3"/>
    <mergeCell ref="E4:F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2017-10-20T11:37:52Z</cp:lastPrinted>
  <dcterms:created xsi:type="dcterms:W3CDTF">2002-03-11T10:22:12Z</dcterms:created>
  <dcterms:modified xsi:type="dcterms:W3CDTF">2017-10-31T11:52:30Z</dcterms:modified>
  <cp:category/>
  <cp:version/>
  <cp:contentType/>
  <cp:contentStatus/>
</cp:coreProperties>
</file>