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55" yWindow="0" windowWidth="15480" windowHeight="11640" firstSheet="1" activeTab="1"/>
  </bookViews>
  <sheets>
    <sheet name="Приложение 2" sheetId="1" state="hidden" r:id="rId1"/>
    <sheet name="Приложение 3" sheetId="2" r:id="rId2"/>
  </sheets>
  <definedNames>
    <definedName name="APPT" localSheetId="1">'Приложение 3'!#REF!</definedName>
    <definedName name="FIO" localSheetId="1">'Приложение 3'!#REF!</definedName>
    <definedName name="SIGN" localSheetId="1">'Приложение 3'!$A$24:$E$25</definedName>
  </definedNames>
  <calcPr fullCalcOnLoad="1"/>
</workbook>
</file>

<file path=xl/sharedStrings.xml><?xml version="1.0" encoding="utf-8"?>
<sst xmlns="http://schemas.openxmlformats.org/spreadsheetml/2006/main" count="1368" uniqueCount="286">
  <si>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</si>
  <si>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</si>
  <si>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</si>
  <si>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</si>
  <si>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</si>
  <si>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</si>
  <si>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</si>
  <si>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10</t>
  </si>
  <si>
    <t>14</t>
  </si>
  <si>
    <t>Подпрограмма</t>
  </si>
  <si>
    <t>0</t>
  </si>
  <si>
    <t>15</t>
  </si>
  <si>
    <t>90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</si>
  <si>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</si>
  <si>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</si>
  <si>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</si>
  <si>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</si>
  <si>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</si>
  <si>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50</t>
  </si>
  <si>
    <t>16</t>
  </si>
  <si>
    <t>17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</si>
  <si>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</si>
  <si>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</si>
  <si>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</si>
  <si>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</si>
  <si>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</si>
  <si>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</si>
  <si>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</si>
  <si>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</si>
  <si>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</si>
  <si>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</si>
  <si>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</si>
  <si>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</si>
  <si>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</si>
  <si>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</si>
  <si>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</si>
  <si>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</si>
  <si>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</si>
  <si>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</si>
  <si>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</si>
  <si>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</si>
  <si>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</si>
  <si>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</si>
  <si>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</si>
  <si>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</si>
  <si>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</si>
  <si>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</si>
  <si>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</si>
  <si>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</si>
  <si>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</si>
  <si>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</si>
  <si>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</si>
  <si>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</si>
  <si>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</si>
  <si>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</si>
  <si>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Государственная  регистрация актов гражданского состояния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</si>
  <si>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</si>
  <si>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</si>
  <si>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</si>
  <si>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</si>
  <si>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</si>
  <si>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</si>
  <si>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</si>
  <si>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</si>
  <si>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</si>
  <si>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</si>
  <si>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</si>
  <si>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</si>
  <si>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</si>
  <si>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</si>
  <si>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</si>
  <si>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</si>
  <si>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</si>
  <si>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</si>
  <si>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</si>
  <si>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</si>
  <si>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</si>
  <si>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</si>
  <si>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</si>
  <si>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</si>
  <si>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</si>
  <si>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</si>
  <si>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</si>
  <si>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</si>
  <si>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</si>
  <si>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</si>
  <si>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</si>
  <si>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</si>
  <si>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</si>
  <si>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</si>
  <si>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</si>
  <si>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</si>
  <si>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</si>
  <si>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</si>
  <si>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</si>
  <si>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</si>
  <si>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</si>
  <si>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</si>
  <si>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</si>
  <si>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</si>
  <si>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Социальные выплаты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</si>
  <si>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</si>
  <si>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</si>
  <si>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</si>
  <si>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</si>
  <si>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</si>
  <si>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</si>
  <si>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</si>
  <si>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</si>
  <si>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</si>
  <si>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</si>
  <si>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</si>
  <si>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</si>
  <si>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</si>
  <si>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</si>
  <si>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</si>
  <si>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</si>
  <si>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</si>
  <si>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Администрация Алексеевского муниципального  района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</si>
  <si>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</si>
  <si>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</si>
  <si>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</si>
  <si>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</si>
  <si>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</si>
  <si>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</si>
  <si>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</si>
  <si>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</si>
  <si>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</si>
  <si>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</si>
  <si>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</si>
  <si>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</si>
  <si>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</si>
  <si>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</si>
  <si>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</si>
  <si>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</si>
  <si>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</si>
  <si>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</si>
  <si>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</si>
  <si>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</si>
  <si>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</si>
  <si>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</si>
  <si>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</si>
  <si>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</si>
  <si>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</si>
  <si>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</si>
  <si>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</si>
  <si>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</si>
  <si>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</si>
  <si>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</si>
  <si>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</si>
  <si>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</si>
  <si>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</si>
  <si>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</si>
  <si>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</si>
  <si>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</si>
  <si>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</si>
  <si>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</si>
  <si>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Молодежная политика  и оздоровление детей</t>
  </si>
  <si>
    <t>Культура, кинематография</t>
  </si>
  <si>
    <t>Борьба с беспризорностью, опека, попечительство</t>
  </si>
  <si>
    <t>1100</t>
  </si>
  <si>
    <t>Физическая культура  и спорт</t>
  </si>
  <si>
    <t>1200</t>
  </si>
  <si>
    <t>1300</t>
  </si>
  <si>
    <t>Итого</t>
  </si>
  <si>
    <t>61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</si>
  <si>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</si>
  <si>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</si>
  <si>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</si>
  <si>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</si>
  <si>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</si>
  <si>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</si>
  <si>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</si>
  <si>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</si>
  <si>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комплектованию книжных фондов библиотек муниципальных образований</t>
  </si>
  <si>
    <t>тыс. рублей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</si>
  <si>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</si>
  <si>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Муниципальная программа "О поддержке деятельности казачьих обществ  Алексеевского муниципального района на 2016-2018 годы"</t>
  </si>
  <si>
    <t>Муниципальная программа "Развитие физической культуры и спорта в Алексеевском муниципальном районе на 2016-2018 годы"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</si>
  <si>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</si>
  <si>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Целевая статья (муниципальная программа и непрограммное направление деятельности)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</si>
  <si>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</si>
  <si>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</si>
  <si>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</si>
  <si>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</si>
  <si>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</si>
  <si>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</si>
  <si>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</si>
  <si>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</si>
  <si>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</si>
  <si>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</si>
  <si>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</si>
  <si>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</si>
  <si>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</si>
  <si>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</si>
  <si>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</si>
  <si>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</si>
  <si>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</si>
  <si>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</si>
  <si>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</si>
  <si>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</si>
  <si>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</si>
  <si>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</si>
  <si>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</si>
  <si>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Ведомство</t>
  </si>
  <si>
    <t>Раздел</t>
  </si>
  <si>
    <t>Муниципальная программа  «Охрана окружающей среды Алексеевского муниципального района на 2016-2018 годы»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</si>
  <si>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</si>
  <si>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</si>
  <si>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</si>
  <si>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</si>
  <si>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</si>
  <si>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Ведомственная целевая программа "Развитие культуры и искусства в Алексеевском муниципальном районе на 2016-2018 годы"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</si>
  <si>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</si>
  <si>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</si>
  <si>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</si>
  <si>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</si>
  <si>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</si>
  <si>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Подпрограмма "Энергосбережение и повышение энергетической эффективности Алексеевского муниципального района"</t>
  </si>
  <si>
    <t>Телевидение и радиовещание</t>
  </si>
  <si>
    <t>1201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</si>
  <si>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</si>
  <si>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</si>
  <si>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</si>
  <si>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</si>
  <si>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</si>
  <si>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</si>
  <si>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</si>
  <si>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</si>
  <si>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</si>
  <si>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Муниципальная программа "Маршрут Победы на 2016-2018 годы"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</si>
  <si>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</si>
  <si>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</si>
  <si>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За счет средств на софинансирование из федерального бюджета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</si>
  <si>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</si>
  <si>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</si>
  <si>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Закупка товаров, работ и услуг в целях ремонта объектов муниципальной собственности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</si>
  <si>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</si>
  <si>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</si>
  <si>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</si>
  <si>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</si>
  <si>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</si>
  <si>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</si>
  <si>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08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</si>
  <si>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</si>
  <si>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</si>
  <si>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2017 год  с учетом изменений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</si>
  <si>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</si>
  <si>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</si>
  <si>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Ведомственная целевая программа "Развитие общего образования детей на  территории  Алексеевского муниципального района на 2017-2019 годы"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</si>
  <si>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t>
  </si>
  <si>
    <t>Дополнительное образование детей</t>
  </si>
  <si>
    <t>0703</t>
  </si>
  <si>
    <t>Здравоохранение</t>
  </si>
  <si>
    <t>0900</t>
  </si>
  <si>
    <t>Амбулаторная помощь</t>
  </si>
  <si>
    <t>0902</t>
  </si>
  <si>
    <t>1101</t>
  </si>
  <si>
    <t>Физическая культура</t>
  </si>
  <si>
    <t>Капитальные вложения в объекты государственной (муниципальной) собственности (средства федерального бюджета)</t>
  </si>
  <si>
    <t>Капитальные вложения в объекты государственной (муниципальной) собственности (средства областного бюджета)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</si>
  <si>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</si>
  <si>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</si>
  <si>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</si>
  <si>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местного бюджета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</si>
  <si>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</si>
  <si>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Предоставление субсидий бюджетным, автономным учреждениям и иным некоммерческим организациям за счет средств федерального бюджета</t>
  </si>
  <si>
    <t>06</t>
  </si>
  <si>
    <t>Муниципальная программа  "Развитие культуры и искусства в Алексеевском муниципальном районе на 2017-2019 годы"</t>
  </si>
  <si>
    <t xml:space="preserve">Субсидии на поощрение победителей конкурса на лучшую организацию работы в представительных органах местного самоуправления 
на 2017 год
</t>
  </si>
  <si>
    <t>09</t>
  </si>
  <si>
    <t>Муниципальная программа "Благоустройство территорий образовательных учреждений Алексеевского муниципального района на 2017 год"</t>
  </si>
  <si>
    <t>% исполнения</t>
  </si>
  <si>
    <t>Исполнено за 9 месяцев 2017 года</t>
  </si>
  <si>
    <t>от 27.10.2017 г. № 8/52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</si>
  <si>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</si>
  <si>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УТВЕРЖДЕНО:</t>
  </si>
  <si>
    <t xml:space="preserve">                 Приложение №2              </t>
  </si>
  <si>
    <t xml:space="preserve">постановлением  главы </t>
  </si>
  <si>
    <t>Алексеевского муниципального района</t>
  </si>
  <si>
    <t>от "__"__________2017 г.№________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</si>
  <si>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9 месяцев 2017 года </t>
  </si>
  <si>
    <t>Распределение средств бюджета  Алексеевского муниципального района по главным распорядителем средств бюджета района за 9 месяцев  2017 года</t>
  </si>
  <si>
    <t>УТВЕРЖДЕНО</t>
  </si>
  <si>
    <t>Приложение 3</t>
  </si>
  <si>
    <t>решением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</si>
</sst>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0" fontId="0" fillId="24" borderId="0" xfId="0" applyFill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0" fontId="9" fillId="24" borderId="0" xfId="53" applyFont="1" applyFill="1">
      <alignment/>
      <protection/>
    </xf>
    <xf numFmtId="0" fontId="1" fillId="0" borderId="0" xfId="53">
      <alignment/>
      <protection/>
    </xf>
    <xf numFmtId="0" fontId="9" fillId="24" borderId="0" xfId="53" applyFont="1" applyFill="1" applyAlignment="1">
      <alignment horizontal="center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0" fontId="6" fillId="24" borderId="10" xfId="53" applyFont="1" applyFill="1" applyBorder="1" applyAlignment="1">
      <alignment horizontal="center" vertical="top" wrapText="1"/>
      <protection/>
    </xf>
    <xf numFmtId="0" fontId="4" fillId="24" borderId="10" xfId="53" applyFont="1" applyFill="1" applyBorder="1" applyAlignment="1">
      <alignment horizontal="left" vertical="top" wrapText="1"/>
      <protection/>
    </xf>
    <xf numFmtId="49" fontId="6" fillId="24" borderId="10" xfId="53" applyNumberFormat="1" applyFont="1" applyFill="1" applyBorder="1" applyAlignment="1">
      <alignment horizontal="left" vertical="top" wrapText="1"/>
      <protection/>
    </xf>
    <xf numFmtId="0" fontId="8" fillId="24" borderId="10" xfId="53" applyFont="1" applyFill="1" applyBorder="1" applyAlignment="1">
      <alignment horizontal="left" vertical="top" wrapText="1"/>
      <protection/>
    </xf>
    <xf numFmtId="173" fontId="11" fillId="24" borderId="10" xfId="53" applyNumberFormat="1" applyFont="1" applyFill="1" applyBorder="1" applyAlignment="1">
      <alignment horizontal="right" vertical="center" wrapText="1"/>
      <protection/>
    </xf>
    <xf numFmtId="49" fontId="4" fillId="24" borderId="10" xfId="53" applyNumberFormat="1" applyFont="1" applyFill="1" applyBorder="1" applyAlignment="1">
      <alignment horizontal="left" vertical="top" wrapText="1"/>
      <protection/>
    </xf>
    <xf numFmtId="0" fontId="6" fillId="24" borderId="10" xfId="0" applyNumberFormat="1" applyFont="1" applyFill="1" applyBorder="1" applyAlignment="1">
      <alignment vertical="top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0" fontId="10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9" fillId="24" borderId="0" xfId="53" applyFont="1" applyFill="1" applyAlignment="1">
      <alignment/>
      <protection/>
    </xf>
    <xf numFmtId="173" fontId="6" fillId="24" borderId="10" xfId="0" applyNumberFormat="1" applyFont="1" applyFill="1" applyBorder="1" applyAlignment="1">
      <alignment horizontal="right" vertical="center" wrapText="1"/>
    </xf>
    <xf numFmtId="172" fontId="11" fillId="24" borderId="11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73" fontId="6" fillId="24" borderId="10" xfId="0" applyNumberFormat="1" applyFont="1" applyFill="1" applyBorder="1" applyAlignment="1">
      <alignment horizontal="right" wrapText="1"/>
    </xf>
    <xf numFmtId="49" fontId="6" fillId="24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wrapText="1"/>
    </xf>
    <xf numFmtId="173" fontId="6" fillId="24" borderId="10" xfId="0" applyNumberFormat="1" applyFont="1" applyFill="1" applyBorder="1" applyAlignment="1">
      <alignment horizontal="right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0" fontId="11" fillId="24" borderId="12" xfId="53" applyFont="1" applyFill="1" applyBorder="1" applyAlignment="1">
      <alignment horizontal="right"/>
      <protection/>
    </xf>
    <xf numFmtId="0" fontId="9" fillId="24" borderId="0" xfId="53" applyFont="1" applyFill="1" applyAlignment="1">
      <alignment horizontal="right"/>
      <protection/>
    </xf>
    <xf numFmtId="0" fontId="9" fillId="24" borderId="0" xfId="53" applyFont="1" applyFill="1" applyAlignment="1">
      <alignment horizontal="center" wrapText="1" shrinkToFit="1"/>
      <protection/>
    </xf>
    <xf numFmtId="0" fontId="9" fillId="24" borderId="0" xfId="53" applyFont="1" applyFill="1" applyAlignment="1">
      <alignment/>
      <protection/>
    </xf>
    <xf numFmtId="172" fontId="11" fillId="0" borderId="12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1">
      <selection activeCell="G14" sqref="G14"/>
    </sheetView>
  </sheetViews>
  <sheetFormatPr defaultColWidth="9.140625" defaultRowHeight="12.75"/>
  <cols>
    <col min="1" max="1" width="5.7109375" style="15" customWidth="1"/>
    <col min="2" max="2" width="49.57421875" style="15" customWidth="1"/>
    <col min="3" max="3" width="9.421875" style="15" customWidth="1"/>
    <col min="4" max="4" width="9.28125" style="15" customWidth="1"/>
    <col min="5" max="5" width="9.8515625" style="15" customWidth="1"/>
    <col min="6" max="16384" width="9.140625" style="15" customWidth="1"/>
  </cols>
  <sheetData>
    <row r="1" spans="1:5" ht="16.5">
      <c r="A1" s="37" t="s">
        <v>275</v>
      </c>
      <c r="B1" s="37"/>
      <c r="C1" s="51" t="s">
        <v>277</v>
      </c>
      <c r="D1" s="51"/>
      <c r="E1" s="51"/>
    </row>
    <row r="2" spans="1:5" ht="16.5">
      <c r="A2" s="37"/>
      <c r="B2" s="37"/>
      <c r="C2" s="49" t="s">
        <v>276</v>
      </c>
      <c r="D2" s="49"/>
      <c r="E2" s="49"/>
    </row>
    <row r="3" spans="1:5" ht="16.5">
      <c r="A3" s="37"/>
      <c r="B3" s="37"/>
      <c r="C3" s="49" t="s">
        <v>278</v>
      </c>
      <c r="D3" s="49"/>
      <c r="E3" s="49"/>
    </row>
    <row r="4" spans="1:5" ht="16.5">
      <c r="A4" s="37"/>
      <c r="B4" s="49" t="s">
        <v>279</v>
      </c>
      <c r="C4" s="49"/>
      <c r="D4" s="49"/>
      <c r="E4" s="49"/>
    </row>
    <row r="5" spans="1:5" ht="16.5">
      <c r="A5" s="37"/>
      <c r="B5" s="49" t="s">
        <v>280</v>
      </c>
      <c r="C5" s="49"/>
      <c r="D5" s="49"/>
      <c r="E5" s="49"/>
    </row>
    <row r="6" spans="1:5" ht="59.25" customHeight="1">
      <c r="A6" s="50" t="s">
        <v>281</v>
      </c>
      <c r="B6" s="50"/>
      <c r="C6" s="50"/>
      <c r="D6" s="50"/>
      <c r="E6" s="50"/>
    </row>
    <row r="7" spans="1:5" ht="16.5">
      <c r="A7" s="16" t="s">
        <v>143</v>
      </c>
      <c r="B7" s="14"/>
      <c r="C7" s="14"/>
      <c r="D7" s="48" t="s">
        <v>175</v>
      </c>
      <c r="E7" s="48"/>
    </row>
    <row r="8" spans="1:5" ht="51">
      <c r="A8" s="27" t="s">
        <v>144</v>
      </c>
      <c r="B8" s="27" t="s">
        <v>145</v>
      </c>
      <c r="C8" s="24" t="s">
        <v>246</v>
      </c>
      <c r="D8" s="24" t="s">
        <v>273</v>
      </c>
      <c r="E8" s="24" t="s">
        <v>272</v>
      </c>
    </row>
    <row r="9" spans="1:5" ht="16.5" customHeight="1">
      <c r="A9" s="32" t="s">
        <v>47</v>
      </c>
      <c r="B9" s="28" t="s">
        <v>146</v>
      </c>
      <c r="C9" s="31" t="e">
        <f>SUM(C10:C18)</f>
        <v>#REF!</v>
      </c>
      <c r="D9" s="31" t="e">
        <f>SUM(D10:D18)</f>
        <v>#REF!</v>
      </c>
      <c r="E9" s="31" t="e">
        <f>SUM(D9/C9)*100</f>
        <v>#REF!</v>
      </c>
    </row>
    <row r="10" spans="1:5" ht="29.25" customHeight="1">
      <c r="A10" s="32" t="s">
        <v>48</v>
      </c>
      <c r="B10" s="28" t="s">
        <v>147</v>
      </c>
      <c r="C10" s="31" t="e">
        <f>SUM(#REF!)</f>
        <v>#REF!</v>
      </c>
      <c r="D10" s="31" t="e">
        <f>SUM(#REF!)</f>
        <v>#REF!</v>
      </c>
      <c r="E10" s="31" t="e">
        <f>SUM(D10/C10)*100</f>
        <v>#REF!</v>
      </c>
    </row>
    <row r="11" spans="1:5" ht="28.5" customHeight="1">
      <c r="A11" s="32" t="s">
        <v>33</v>
      </c>
      <c r="B11" s="28" t="s">
        <v>148</v>
      </c>
      <c r="C11" s="31" t="e">
        <f>SUM(#REF!)</f>
        <v>#REF!</v>
      </c>
      <c r="D11" s="31" t="e">
        <f>SUM(#REF!)</f>
        <v>#REF!</v>
      </c>
      <c r="E11" s="31" t="e">
        <f>SUM(D11/C11)*100</f>
        <v>#REF!</v>
      </c>
    </row>
    <row r="12" spans="1:5" ht="19.5" customHeight="1">
      <c r="A12" s="32" t="s">
        <v>46</v>
      </c>
      <c r="B12" s="28" t="s">
        <v>149</v>
      </c>
      <c r="C12" s="31" t="e">
        <f>SUM(#REF!)</f>
        <v>#REF!</v>
      </c>
      <c r="D12" s="31" t="e">
        <f>SUM(#REF!)</f>
        <v>#REF!</v>
      </c>
      <c r="E12" s="31" t="e">
        <f>SUM(D12/C12)*100</f>
        <v>#REF!</v>
      </c>
    </row>
    <row r="13" spans="1:5" ht="15" customHeight="1">
      <c r="A13" s="32" t="s">
        <v>49</v>
      </c>
      <c r="B13" s="28" t="s">
        <v>41</v>
      </c>
      <c r="C13" s="31">
        <f>SUM('Приложение 3'!G52)</f>
        <v>0</v>
      </c>
      <c r="D13" s="31">
        <f>SUM('Приложение 3'!H52)</f>
        <v>0</v>
      </c>
      <c r="E13" s="31">
        <v>0</v>
      </c>
    </row>
    <row r="14" spans="1:5" ht="42.75" customHeight="1">
      <c r="A14" s="32" t="s">
        <v>37</v>
      </c>
      <c r="B14" s="28" t="s">
        <v>150</v>
      </c>
      <c r="C14" s="31" t="e">
        <f>SUM(#REF!)</f>
        <v>#REF!</v>
      </c>
      <c r="D14" s="31" t="e">
        <f>SUM(#REF!)</f>
        <v>#REF!</v>
      </c>
      <c r="E14" s="31" t="e">
        <f>SUM(D14/C14)*100</f>
        <v>#REF!</v>
      </c>
    </row>
    <row r="15" spans="1:5" ht="16.5" customHeight="1">
      <c r="A15" s="32" t="s">
        <v>50</v>
      </c>
      <c r="B15" s="28" t="s">
        <v>42</v>
      </c>
      <c r="C15" s="31" t="e">
        <f>SUM(#REF!)</f>
        <v>#REF!</v>
      </c>
      <c r="D15" s="31" t="e">
        <f>SUM(#REF!)</f>
        <v>#REF!</v>
      </c>
      <c r="E15" s="31">
        <v>0</v>
      </c>
    </row>
    <row r="16" spans="1:5" ht="16.5" customHeight="1">
      <c r="A16" s="32" t="s">
        <v>51</v>
      </c>
      <c r="B16" s="28" t="s">
        <v>151</v>
      </c>
      <c r="C16" s="31" t="e">
        <f>SUM(#REF!)</f>
        <v>#REF!</v>
      </c>
      <c r="D16" s="31" t="e">
        <f>SUM(#REF!)</f>
        <v>#REF!</v>
      </c>
      <c r="E16" s="31" t="e">
        <f>SUM(D16/C16)*100</f>
        <v>#REF!</v>
      </c>
    </row>
    <row r="17" spans="1:5" ht="16.5" customHeight="1">
      <c r="A17" s="32" t="s">
        <v>34</v>
      </c>
      <c r="B17" s="28" t="s">
        <v>52</v>
      </c>
      <c r="C17" s="31" t="e">
        <f>SUM(#REF!)-C18</f>
        <v>#REF!</v>
      </c>
      <c r="D17" s="31" t="e">
        <f>SUM(#REF!)-D18</f>
        <v>#REF!</v>
      </c>
      <c r="E17" s="31" t="e">
        <f>SUM(D17/C17)*100</f>
        <v>#REF!</v>
      </c>
    </row>
    <row r="18" spans="1:5" ht="16.5" customHeight="1">
      <c r="A18" s="32" t="s">
        <v>34</v>
      </c>
      <c r="B18" s="28" t="s">
        <v>56</v>
      </c>
      <c r="C18" s="31" t="e">
        <f>SUM(#REF!)</f>
        <v>#REF!</v>
      </c>
      <c r="D18" s="31" t="e">
        <f>SUM(#REF!)</f>
        <v>#REF!</v>
      </c>
      <c r="E18" s="31">
        <v>0</v>
      </c>
    </row>
    <row r="19" spans="1:5" ht="16.5" customHeight="1">
      <c r="A19" s="32" t="s">
        <v>131</v>
      </c>
      <c r="B19" s="28" t="s">
        <v>152</v>
      </c>
      <c r="C19" s="31" t="e">
        <f>SUM(C20)</f>
        <v>#REF!</v>
      </c>
      <c r="D19" s="31" t="e">
        <f>SUM(D20)</f>
        <v>#REF!</v>
      </c>
      <c r="E19" s="31" t="e">
        <f aca="true" t="shared" si="0" ref="E19:E27">SUM(D19/C19)*100</f>
        <v>#REF!</v>
      </c>
    </row>
    <row r="20" spans="1:5" ht="16.5" customHeight="1">
      <c r="A20" s="32" t="s">
        <v>59</v>
      </c>
      <c r="B20" s="28" t="s">
        <v>58</v>
      </c>
      <c r="C20" s="31" t="e">
        <f>SUM(#REF!)</f>
        <v>#REF!</v>
      </c>
      <c r="D20" s="31" t="e">
        <f>SUM(#REF!)</f>
        <v>#REF!</v>
      </c>
      <c r="E20" s="31" t="e">
        <f t="shared" si="0"/>
        <v>#REF!</v>
      </c>
    </row>
    <row r="21" spans="1:5" ht="27.75" customHeight="1">
      <c r="A21" s="32" t="s">
        <v>132</v>
      </c>
      <c r="B21" s="28" t="s">
        <v>136</v>
      </c>
      <c r="C21" s="31" t="e">
        <f>SUM(C22:C22)</f>
        <v>#REF!</v>
      </c>
      <c r="D21" s="31" t="e">
        <f>SUM(D22:D22)</f>
        <v>#REF!</v>
      </c>
      <c r="E21" s="31" t="e">
        <f t="shared" si="0"/>
        <v>#REF!</v>
      </c>
    </row>
    <row r="22" spans="1:5" ht="42.75" customHeight="1">
      <c r="A22" s="32" t="s">
        <v>60</v>
      </c>
      <c r="B22" s="28" t="s">
        <v>153</v>
      </c>
      <c r="C22" s="31" t="e">
        <f>SUM(#REF!)</f>
        <v>#REF!</v>
      </c>
      <c r="D22" s="31" t="e">
        <f>SUM(#REF!)</f>
        <v>#REF!</v>
      </c>
      <c r="E22" s="31" t="e">
        <f t="shared" si="0"/>
        <v>#REF!</v>
      </c>
    </row>
    <row r="23" spans="1:5" ht="15.75" customHeight="1">
      <c r="A23" s="32" t="s">
        <v>71</v>
      </c>
      <c r="B23" s="28" t="s">
        <v>139</v>
      </c>
      <c r="C23" s="31" t="e">
        <f>SUM(C24:C26)</f>
        <v>#REF!</v>
      </c>
      <c r="D23" s="31" t="e">
        <f>SUM(D24:D26)</f>
        <v>#REF!</v>
      </c>
      <c r="E23" s="31" t="e">
        <f t="shared" si="0"/>
        <v>#REF!</v>
      </c>
    </row>
    <row r="24" spans="1:5" ht="15.75" customHeight="1">
      <c r="A24" s="32" t="s">
        <v>169</v>
      </c>
      <c r="B24" s="28" t="s">
        <v>168</v>
      </c>
      <c r="C24" s="31" t="e">
        <f>SUM(#REF!)</f>
        <v>#REF!</v>
      </c>
      <c r="D24" s="31" t="e">
        <f>SUM(#REF!)</f>
        <v>#REF!</v>
      </c>
      <c r="E24" s="31" t="e">
        <f t="shared" si="0"/>
        <v>#REF!</v>
      </c>
    </row>
    <row r="25" spans="1:5" ht="15.75" customHeight="1">
      <c r="A25" s="32" t="s">
        <v>61</v>
      </c>
      <c r="B25" s="28" t="s">
        <v>140</v>
      </c>
      <c r="C25" s="31" t="e">
        <f>SUM(#REF!)</f>
        <v>#REF!</v>
      </c>
      <c r="D25" s="31" t="e">
        <f>SUM(#REF!)</f>
        <v>#REF!</v>
      </c>
      <c r="E25" s="31" t="e">
        <f t="shared" si="0"/>
        <v>#REF!</v>
      </c>
    </row>
    <row r="26" spans="1:5" ht="15.75" customHeight="1">
      <c r="A26" s="32" t="s">
        <v>63</v>
      </c>
      <c r="B26" s="28" t="s">
        <v>141</v>
      </c>
      <c r="C26" s="31" t="e">
        <f>SUM(#REF!)</f>
        <v>#REF!</v>
      </c>
      <c r="D26" s="31" t="e">
        <f>SUM(#REF!)</f>
        <v>#REF!</v>
      </c>
      <c r="E26" s="31" t="e">
        <f t="shared" si="0"/>
        <v>#REF!</v>
      </c>
    </row>
    <row r="27" spans="1:5" ht="15.75" customHeight="1">
      <c r="A27" s="32" t="s">
        <v>67</v>
      </c>
      <c r="B27" s="28" t="s">
        <v>154</v>
      </c>
      <c r="C27" s="31" t="e">
        <f>SUM(C28:C30)</f>
        <v>#REF!</v>
      </c>
      <c r="D27" s="31" t="e">
        <f>SUM(D28:D30)</f>
        <v>#REF!</v>
      </c>
      <c r="E27" s="31" t="e">
        <f t="shared" si="0"/>
        <v>#REF!</v>
      </c>
    </row>
    <row r="28" spans="1:5" ht="15.75" customHeight="1">
      <c r="A28" s="32" t="s">
        <v>187</v>
      </c>
      <c r="B28" s="28" t="s">
        <v>186</v>
      </c>
      <c r="C28" s="31" t="e">
        <f>SUM(#REF!)</f>
        <v>#REF!</v>
      </c>
      <c r="D28" s="31" t="e">
        <f>SUM(#REF!)</f>
        <v>#REF!</v>
      </c>
      <c r="E28" s="31">
        <v>0</v>
      </c>
    </row>
    <row r="29" spans="1:5" ht="15.75" customHeight="1">
      <c r="A29" s="32" t="s">
        <v>68</v>
      </c>
      <c r="B29" s="28" t="s">
        <v>64</v>
      </c>
      <c r="C29" s="31" t="e">
        <f>SUM(#REF!)</f>
        <v>#REF!</v>
      </c>
      <c r="D29" s="31" t="e">
        <f>SUM(#REF!)</f>
        <v>#REF!</v>
      </c>
      <c r="E29" s="31" t="e">
        <f>SUM(D29/C29)*100</f>
        <v>#REF!</v>
      </c>
    </row>
    <row r="30" spans="1:5" ht="15.75" customHeight="1">
      <c r="A30" s="32" t="s">
        <v>155</v>
      </c>
      <c r="B30" s="28" t="s">
        <v>156</v>
      </c>
      <c r="C30" s="31">
        <v>0</v>
      </c>
      <c r="D30" s="31">
        <v>0</v>
      </c>
      <c r="E30" s="31">
        <v>0</v>
      </c>
    </row>
    <row r="31" spans="1:5" ht="15.75" customHeight="1">
      <c r="A31" s="32" t="s">
        <v>133</v>
      </c>
      <c r="B31" s="28" t="s">
        <v>69</v>
      </c>
      <c r="C31" s="31" t="e">
        <f>SUM(C32)</f>
        <v>#REF!</v>
      </c>
      <c r="D31" s="31" t="e">
        <f>SUM(D32)</f>
        <v>#REF!</v>
      </c>
      <c r="E31" s="31" t="e">
        <f aca="true" t="shared" si="1" ref="E31:E52">SUM(D31/C31)*100</f>
        <v>#REF!</v>
      </c>
    </row>
    <row r="32" spans="1:5" ht="15.75" customHeight="1">
      <c r="A32" s="32" t="s">
        <v>72</v>
      </c>
      <c r="B32" s="28" t="s">
        <v>70</v>
      </c>
      <c r="C32" s="31" t="e">
        <f>SUM(#REF!)</f>
        <v>#REF!</v>
      </c>
      <c r="D32" s="31" t="e">
        <f>SUM(#REF!)</f>
        <v>#REF!</v>
      </c>
      <c r="E32" s="31" t="e">
        <f t="shared" si="1"/>
        <v>#REF!</v>
      </c>
    </row>
    <row r="33" spans="1:5" ht="18" customHeight="1">
      <c r="A33" s="32" t="s">
        <v>76</v>
      </c>
      <c r="B33" s="28" t="s">
        <v>73</v>
      </c>
      <c r="C33" s="31" t="e">
        <f>SUM(C34:C38)</f>
        <v>#REF!</v>
      </c>
      <c r="D33" s="31" t="e">
        <f>SUM(D34:D38)</f>
        <v>#REF!</v>
      </c>
      <c r="E33" s="31" t="e">
        <f t="shared" si="1"/>
        <v>#REF!</v>
      </c>
    </row>
    <row r="34" spans="1:5" ht="18" customHeight="1">
      <c r="A34" s="32" t="s">
        <v>75</v>
      </c>
      <c r="B34" s="28" t="s">
        <v>74</v>
      </c>
      <c r="C34" s="31" t="e">
        <f>SUM(#REF!)</f>
        <v>#REF!</v>
      </c>
      <c r="D34" s="31" t="e">
        <f>SUM(#REF!)</f>
        <v>#REF!</v>
      </c>
      <c r="E34" s="31" t="e">
        <f t="shared" si="1"/>
        <v>#REF!</v>
      </c>
    </row>
    <row r="35" spans="1:5" ht="18" customHeight="1">
      <c r="A35" s="32" t="s">
        <v>77</v>
      </c>
      <c r="B35" s="28" t="s">
        <v>82</v>
      </c>
      <c r="C35" s="31" t="e">
        <f>SUM(#REF!)</f>
        <v>#REF!</v>
      </c>
      <c r="D35" s="31" t="e">
        <f>SUM(#REF!)</f>
        <v>#REF!</v>
      </c>
      <c r="E35" s="31" t="e">
        <f t="shared" si="1"/>
        <v>#REF!</v>
      </c>
    </row>
    <row r="36" spans="1:5" ht="18" customHeight="1">
      <c r="A36" s="32" t="s">
        <v>252</v>
      </c>
      <c r="B36" s="28" t="s">
        <v>251</v>
      </c>
      <c r="C36" s="31" t="e">
        <f>SUM(#REF!)</f>
        <v>#REF!</v>
      </c>
      <c r="D36" s="31" t="e">
        <f>SUM(#REF!)</f>
        <v>#REF!</v>
      </c>
      <c r="E36" s="31" t="e">
        <f t="shared" si="1"/>
        <v>#REF!</v>
      </c>
    </row>
    <row r="37" spans="1:5" ht="18" customHeight="1">
      <c r="A37" s="32" t="s">
        <v>83</v>
      </c>
      <c r="B37" s="28" t="s">
        <v>157</v>
      </c>
      <c r="C37" s="31" t="e">
        <f>SUM(#REF!)</f>
        <v>#REF!</v>
      </c>
      <c r="D37" s="31" t="e">
        <f>SUM(#REF!)</f>
        <v>#REF!</v>
      </c>
      <c r="E37" s="31" t="e">
        <f t="shared" si="1"/>
        <v>#REF!</v>
      </c>
    </row>
    <row r="38" spans="1:5" ht="18" customHeight="1">
      <c r="A38" s="32" t="s">
        <v>86</v>
      </c>
      <c r="B38" s="28" t="s">
        <v>85</v>
      </c>
      <c r="C38" s="31" t="e">
        <f>SUM(#REF!)</f>
        <v>#REF!</v>
      </c>
      <c r="D38" s="31" t="e">
        <f>SUM(#REF!)</f>
        <v>#REF!</v>
      </c>
      <c r="E38" s="31" t="e">
        <f t="shared" si="1"/>
        <v>#REF!</v>
      </c>
    </row>
    <row r="39" spans="1:5" ht="18" customHeight="1">
      <c r="A39" s="32" t="s">
        <v>134</v>
      </c>
      <c r="B39" s="28" t="s">
        <v>158</v>
      </c>
      <c r="C39" s="31" t="e">
        <f>SUM(C40:C42)</f>
        <v>#REF!</v>
      </c>
      <c r="D39" s="31" t="e">
        <f>SUM(D40:D42)</f>
        <v>#REF!</v>
      </c>
      <c r="E39" s="31" t="e">
        <f t="shared" si="1"/>
        <v>#REF!</v>
      </c>
    </row>
    <row r="40" spans="1:5" ht="18" customHeight="1">
      <c r="A40" s="32" t="s">
        <v>93</v>
      </c>
      <c r="B40" s="28" t="s">
        <v>135</v>
      </c>
      <c r="C40" s="31" t="e">
        <f>SUM(#REF!)</f>
        <v>#REF!</v>
      </c>
      <c r="D40" s="31" t="e">
        <f>SUM(#REF!)</f>
        <v>#REF!</v>
      </c>
      <c r="E40" s="31" t="e">
        <f t="shared" si="1"/>
        <v>#REF!</v>
      </c>
    </row>
    <row r="41" spans="1:5" ht="18" customHeight="1">
      <c r="A41" s="32" t="s">
        <v>94</v>
      </c>
      <c r="B41" s="28" t="s">
        <v>91</v>
      </c>
      <c r="C41" s="31" t="e">
        <f>SUM(#REF!)</f>
        <v>#REF!</v>
      </c>
      <c r="D41" s="31" t="e">
        <f>SUM(#REF!)</f>
        <v>#REF!</v>
      </c>
      <c r="E41" s="31" t="e">
        <f t="shared" si="1"/>
        <v>#REF!</v>
      </c>
    </row>
    <row r="42" spans="1:5" ht="31.5" customHeight="1">
      <c r="A42" s="32" t="s">
        <v>95</v>
      </c>
      <c r="B42" s="28" t="s">
        <v>92</v>
      </c>
      <c r="C42" s="31" t="e">
        <f>SUM(#REF!)</f>
        <v>#REF!</v>
      </c>
      <c r="D42" s="31" t="e">
        <f>SUM(#REF!)</f>
        <v>#REF!</v>
      </c>
      <c r="E42" s="31" t="e">
        <f t="shared" si="1"/>
        <v>#REF!</v>
      </c>
    </row>
    <row r="43" spans="1:5" ht="20.25" customHeight="1">
      <c r="A43" s="32" t="s">
        <v>254</v>
      </c>
      <c r="B43" s="28" t="s">
        <v>253</v>
      </c>
      <c r="C43" s="31" t="e">
        <f>SUM(C44)</f>
        <v>#REF!</v>
      </c>
      <c r="D43" s="31" t="e">
        <f>SUM(D44)</f>
        <v>#REF!</v>
      </c>
      <c r="E43" s="31" t="e">
        <f t="shared" si="1"/>
        <v>#REF!</v>
      </c>
    </row>
    <row r="44" spans="1:5" ht="21" customHeight="1">
      <c r="A44" s="32" t="s">
        <v>256</v>
      </c>
      <c r="B44" s="28" t="s">
        <v>255</v>
      </c>
      <c r="C44" s="31" t="e">
        <f>SUM(#REF!)</f>
        <v>#REF!</v>
      </c>
      <c r="D44" s="31" t="e">
        <f>SUM(#REF!)</f>
        <v>#REF!</v>
      </c>
      <c r="E44" s="31" t="e">
        <f t="shared" si="1"/>
        <v>#REF!</v>
      </c>
    </row>
    <row r="45" spans="1:5" ht="18" customHeight="1">
      <c r="A45" s="32">
        <v>1000</v>
      </c>
      <c r="B45" s="28" t="s">
        <v>96</v>
      </c>
      <c r="C45" s="31" t="e">
        <f>SUM(C46:C48)</f>
        <v>#REF!</v>
      </c>
      <c r="D45" s="31" t="e">
        <f>SUM(D46:D48)</f>
        <v>#REF!</v>
      </c>
      <c r="E45" s="31" t="e">
        <f t="shared" si="1"/>
        <v>#REF!</v>
      </c>
    </row>
    <row r="46" spans="1:5" ht="18" customHeight="1">
      <c r="A46" s="32">
        <v>1001</v>
      </c>
      <c r="B46" s="28" t="s">
        <v>97</v>
      </c>
      <c r="C46" s="31" t="e">
        <f>SUM(#REF!)</f>
        <v>#REF!</v>
      </c>
      <c r="D46" s="31" t="e">
        <f>SUM(#REF!)</f>
        <v>#REF!</v>
      </c>
      <c r="E46" s="31" t="e">
        <f t="shared" si="1"/>
        <v>#REF!</v>
      </c>
    </row>
    <row r="47" spans="1:5" ht="18" customHeight="1">
      <c r="A47" s="32">
        <v>1003</v>
      </c>
      <c r="B47" s="28" t="s">
        <v>101</v>
      </c>
      <c r="C47" s="31" t="e">
        <f>SUM(#REF!)</f>
        <v>#REF!</v>
      </c>
      <c r="D47" s="31" t="e">
        <f>SUM(#REF!)</f>
        <v>#REF!</v>
      </c>
      <c r="E47" s="31" t="e">
        <f t="shared" si="1"/>
        <v>#REF!</v>
      </c>
    </row>
    <row r="48" spans="1:5" ht="18" customHeight="1">
      <c r="A48" s="32">
        <v>1004</v>
      </c>
      <c r="B48" s="28" t="s">
        <v>159</v>
      </c>
      <c r="C48" s="31" t="e">
        <f>SUM(#REF!)</f>
        <v>#REF!</v>
      </c>
      <c r="D48" s="31" t="e">
        <f>SUM(#REF!)</f>
        <v>#REF!</v>
      </c>
      <c r="E48" s="31" t="e">
        <f t="shared" si="1"/>
        <v>#REF!</v>
      </c>
    </row>
    <row r="49" spans="1:5" ht="18" customHeight="1">
      <c r="A49" s="32" t="s">
        <v>160</v>
      </c>
      <c r="B49" s="28" t="s">
        <v>161</v>
      </c>
      <c r="C49" s="31" t="e">
        <f>SUM(C50:C51)</f>
        <v>#REF!</v>
      </c>
      <c r="D49" s="31" t="e">
        <f>SUM(D50:D51)</f>
        <v>#REF!</v>
      </c>
      <c r="E49" s="31" t="e">
        <f t="shared" si="1"/>
        <v>#REF!</v>
      </c>
    </row>
    <row r="50" spans="1:5" ht="18" customHeight="1">
      <c r="A50" s="32" t="s">
        <v>257</v>
      </c>
      <c r="B50" s="28" t="s">
        <v>262</v>
      </c>
      <c r="C50" s="31" t="e">
        <f>SUM(#REF!)</f>
        <v>#REF!</v>
      </c>
      <c r="D50" s="31" t="e">
        <f>SUM(#REF!)</f>
        <v>#REF!</v>
      </c>
      <c r="E50" s="31" t="e">
        <f t="shared" si="1"/>
        <v>#REF!</v>
      </c>
    </row>
    <row r="51" spans="1:5" ht="26.25" customHeight="1">
      <c r="A51" s="32" t="s">
        <v>106</v>
      </c>
      <c r="B51" s="28" t="s">
        <v>263</v>
      </c>
      <c r="C51" s="31" t="e">
        <f>SUM(#REF!)</f>
        <v>#REF!</v>
      </c>
      <c r="D51" s="31" t="e">
        <f>SUM(#REF!)</f>
        <v>#REF!</v>
      </c>
      <c r="E51" s="31" t="e">
        <f t="shared" si="1"/>
        <v>#REF!</v>
      </c>
    </row>
    <row r="52" spans="1:5" ht="18" customHeight="1">
      <c r="A52" s="32" t="s">
        <v>162</v>
      </c>
      <c r="B52" s="28" t="s">
        <v>107</v>
      </c>
      <c r="C52" s="31">
        <f>SUM(C53:C54)</f>
        <v>2359.843</v>
      </c>
      <c r="D52" s="31">
        <f>SUM(D53:D54)</f>
        <v>2099.843</v>
      </c>
      <c r="E52" s="31">
        <f t="shared" si="1"/>
        <v>88.98231789148684</v>
      </c>
    </row>
    <row r="53" spans="1:5" ht="18" customHeight="1">
      <c r="A53" s="32" t="s">
        <v>220</v>
      </c>
      <c r="B53" s="28" t="s">
        <v>219</v>
      </c>
      <c r="C53" s="31">
        <f>SUM('Приложение 3'!G316)</f>
        <v>0</v>
      </c>
      <c r="D53" s="31">
        <f>SUM('Приложение 3'!H316)</f>
        <v>0</v>
      </c>
      <c r="E53" s="31">
        <v>0</v>
      </c>
    </row>
    <row r="54" spans="1:5" ht="18" customHeight="1">
      <c r="A54" s="32" t="s">
        <v>109</v>
      </c>
      <c r="B54" s="28" t="s">
        <v>108</v>
      </c>
      <c r="C54" s="31">
        <f>SUM('Приложение 3'!G317)</f>
        <v>2359.843</v>
      </c>
      <c r="D54" s="31">
        <f>SUM('Приложение 3'!H317)</f>
        <v>2099.843</v>
      </c>
      <c r="E54" s="31">
        <f aca="true" t="shared" si="2" ref="E54:E59">SUM(D54/C54)*100</f>
        <v>88.98231789148684</v>
      </c>
    </row>
    <row r="55" spans="1:5" ht="29.25" customHeight="1">
      <c r="A55" s="32" t="s">
        <v>163</v>
      </c>
      <c r="B55" s="28" t="s">
        <v>110</v>
      </c>
      <c r="C55" s="31" t="e">
        <f>SUM(C56:C56)</f>
        <v>#REF!</v>
      </c>
      <c r="D55" s="31" t="e">
        <f>SUM(D56:D56)</f>
        <v>#REF!</v>
      </c>
      <c r="E55" s="31" t="e">
        <f t="shared" si="2"/>
        <v>#REF!</v>
      </c>
    </row>
    <row r="56" spans="1:5" ht="31.5" customHeight="1">
      <c r="A56" s="32" t="s">
        <v>112</v>
      </c>
      <c r="B56" s="28" t="s">
        <v>111</v>
      </c>
      <c r="C56" s="31" t="e">
        <f>SUM(#REF!)</f>
        <v>#REF!</v>
      </c>
      <c r="D56" s="31" t="e">
        <f>SUM(#REF!)</f>
        <v>#REF!</v>
      </c>
      <c r="E56" s="31" t="e">
        <f t="shared" si="2"/>
        <v>#REF!</v>
      </c>
    </row>
    <row r="57" spans="1:5" ht="43.5" customHeight="1">
      <c r="A57" s="32" t="s">
        <v>201</v>
      </c>
      <c r="B57" s="28" t="s">
        <v>200</v>
      </c>
      <c r="C57" s="31">
        <f>SUM(C58:C58)</f>
        <v>6368</v>
      </c>
      <c r="D57" s="31">
        <f>SUM(D58:D58)</f>
        <v>5187.25</v>
      </c>
      <c r="E57" s="31">
        <f t="shared" si="2"/>
        <v>81.4580716080402</v>
      </c>
    </row>
    <row r="58" spans="1:5" ht="31.5" customHeight="1">
      <c r="A58" s="32" t="s">
        <v>203</v>
      </c>
      <c r="B58" s="28" t="s">
        <v>202</v>
      </c>
      <c r="C58" s="31">
        <f>SUM('Приложение 3'!G327)</f>
        <v>6368</v>
      </c>
      <c r="D58" s="31">
        <f>SUM('Приложение 3'!H327)</f>
        <v>5187.25</v>
      </c>
      <c r="E58" s="31">
        <f t="shared" si="2"/>
        <v>81.4580716080402</v>
      </c>
    </row>
    <row r="59" spans="1:5" ht="21" customHeight="1">
      <c r="A59" s="29"/>
      <c r="B59" s="30" t="s">
        <v>164</v>
      </c>
      <c r="C59" s="31" t="e">
        <f>C9+C19+C21+C23+C27+C31+C33+C39+C45+C49+C52+C55+C57+C43</f>
        <v>#REF!</v>
      </c>
      <c r="D59" s="31" t="e">
        <f>D9+D19+D21+D23+D27+D31+D33+D39+D45+D49+D52+D55+D57+D43</f>
        <v>#REF!</v>
      </c>
      <c r="E59" s="31" t="e">
        <f t="shared" si="2"/>
        <v>#REF!</v>
      </c>
    </row>
  </sheetData>
  <sheetProtection/>
  <mergeCells count="7">
    <mergeCell ref="D7:E7"/>
    <mergeCell ref="C3:E3"/>
    <mergeCell ref="A6:E6"/>
    <mergeCell ref="C1:E1"/>
    <mergeCell ref="C2:E2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9"/>
  <sheetViews>
    <sheetView showGridLines="0" tabSelected="1" zoomScale="90" zoomScaleNormal="90" zoomScalePageLayoutView="0" workbookViewId="0" topLeftCell="A1">
      <pane ySplit="10" topLeftCell="BM221" activePane="bottomLeft" state="frozen"/>
      <selection pane="topLeft" activeCell="A1" sqref="A1"/>
      <selection pane="bottomLeft" activeCell="M10" sqref="M10"/>
    </sheetView>
  </sheetViews>
  <sheetFormatPr defaultColWidth="9.140625" defaultRowHeight="12.75" outlineLevelRow="5"/>
  <cols>
    <col min="1" max="1" width="54.421875" style="5" customWidth="1"/>
    <col min="2" max="2" width="7.00390625" style="8" customWidth="1"/>
    <col min="3" max="3" width="6.7109375" style="8" customWidth="1"/>
    <col min="4" max="4" width="5.7109375" style="18" customWidth="1"/>
    <col min="5" max="5" width="5.421875" style="21" customWidth="1"/>
    <col min="6" max="6" width="6.00390625" style="7" customWidth="1"/>
    <col min="7" max="7" width="14.57421875" style="10" customWidth="1"/>
    <col min="8" max="8" width="15.00390625" style="10" customWidth="1"/>
    <col min="9" max="9" width="15.7109375" style="1" customWidth="1"/>
    <col min="10" max="16384" width="9.140625" style="1" customWidth="1"/>
  </cols>
  <sheetData>
    <row r="1" spans="1:9" ht="18.75" customHeight="1">
      <c r="A1" s="53" t="s">
        <v>284</v>
      </c>
      <c r="B1" s="53"/>
      <c r="C1" s="53"/>
      <c r="D1" s="53"/>
      <c r="E1" s="53"/>
      <c r="F1" s="53"/>
      <c r="G1" s="53"/>
      <c r="H1" s="53"/>
      <c r="I1" s="53"/>
    </row>
    <row r="2" spans="1:9" ht="18.75" customHeight="1">
      <c r="A2" s="53" t="s">
        <v>283</v>
      </c>
      <c r="B2" s="53"/>
      <c r="C2" s="53"/>
      <c r="D2" s="53"/>
      <c r="E2" s="53"/>
      <c r="F2" s="53"/>
      <c r="G2" s="53"/>
      <c r="H2" s="53"/>
      <c r="I2" s="53"/>
    </row>
    <row r="3" spans="1:9" ht="18.75" customHeight="1">
      <c r="A3" s="53" t="s">
        <v>285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>
      <c r="A4" s="53" t="s">
        <v>166</v>
      </c>
      <c r="B4" s="53"/>
      <c r="C4" s="53"/>
      <c r="D4" s="53"/>
      <c r="E4" s="53"/>
      <c r="F4" s="53"/>
      <c r="G4" s="53"/>
      <c r="H4" s="53"/>
      <c r="I4" s="53"/>
    </row>
    <row r="5" spans="1:9" ht="18.75" customHeight="1">
      <c r="A5" s="54" t="s">
        <v>274</v>
      </c>
      <c r="B5" s="54"/>
      <c r="C5" s="54"/>
      <c r="D5" s="54"/>
      <c r="E5" s="54"/>
      <c r="F5" s="54"/>
      <c r="G5" s="54"/>
      <c r="H5" s="54"/>
      <c r="I5" s="54"/>
    </row>
    <row r="6" spans="1:9" ht="18.75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9" ht="33.75" customHeight="1">
      <c r="A7" s="56" t="s">
        <v>282</v>
      </c>
      <c r="B7" s="56"/>
      <c r="C7" s="56"/>
      <c r="D7" s="56"/>
      <c r="E7" s="56"/>
      <c r="F7" s="56"/>
      <c r="G7" s="56"/>
      <c r="H7" s="56"/>
      <c r="I7" s="56"/>
    </row>
    <row r="8" spans="1:8" ht="12.75">
      <c r="A8" s="4"/>
      <c r="B8" s="2"/>
      <c r="C8" s="2"/>
      <c r="D8" s="19"/>
      <c r="E8" s="20"/>
      <c r="F8" s="6"/>
      <c r="G8" s="9"/>
      <c r="H8" s="9"/>
    </row>
    <row r="9" spans="1:9" ht="12.75">
      <c r="A9" s="4"/>
      <c r="B9" s="2"/>
      <c r="C9" s="2"/>
      <c r="D9" s="19"/>
      <c r="E9" s="20"/>
      <c r="F9" s="6"/>
      <c r="G9" s="9"/>
      <c r="H9" s="52" t="s">
        <v>175</v>
      </c>
      <c r="I9" s="52"/>
    </row>
    <row r="10" spans="1:9" ht="91.5" customHeight="1">
      <c r="A10" s="17" t="s">
        <v>1</v>
      </c>
      <c r="B10" s="25" t="s">
        <v>204</v>
      </c>
      <c r="C10" s="34" t="s">
        <v>205</v>
      </c>
      <c r="D10" s="25" t="s">
        <v>180</v>
      </c>
      <c r="E10" s="26" t="s">
        <v>9</v>
      </c>
      <c r="F10" s="35" t="s">
        <v>181</v>
      </c>
      <c r="G10" s="39" t="s">
        <v>246</v>
      </c>
      <c r="H10" s="39" t="s">
        <v>273</v>
      </c>
      <c r="I10" s="39" t="s">
        <v>272</v>
      </c>
    </row>
    <row r="11" spans="1:9" ht="15.75" outlineLevel="1">
      <c r="A11" s="33" t="s">
        <v>31</v>
      </c>
      <c r="B11" s="13" t="s">
        <v>32</v>
      </c>
      <c r="C11" s="13"/>
      <c r="D11" s="13"/>
      <c r="E11" s="22" t="s">
        <v>0</v>
      </c>
      <c r="F11" s="40"/>
      <c r="G11" s="38">
        <f>SUM(G12)</f>
        <v>390</v>
      </c>
      <c r="H11" s="38">
        <f>SUM(H12)</f>
        <v>326.88075</v>
      </c>
      <c r="I11" s="38">
        <f aca="true" t="shared" si="0" ref="I11:I74">SUM(H11/G11)*100</f>
        <v>83.81557692307692</v>
      </c>
    </row>
    <row r="12" spans="1:9" ht="15.75" outlineLevel="1">
      <c r="A12" s="33" t="s">
        <v>114</v>
      </c>
      <c r="B12" s="13" t="s">
        <v>32</v>
      </c>
      <c r="C12" s="13" t="s">
        <v>47</v>
      </c>
      <c r="D12" s="13"/>
      <c r="E12" s="22"/>
      <c r="F12" s="17"/>
      <c r="G12" s="38">
        <f>SUM(G13)</f>
        <v>390</v>
      </c>
      <c r="H12" s="38">
        <f>SUM(H13)</f>
        <v>326.88075</v>
      </c>
      <c r="I12" s="38">
        <f t="shared" si="0"/>
        <v>83.81557692307692</v>
      </c>
    </row>
    <row r="13" spans="1:9" ht="50.25" customHeight="1" outlineLevel="2">
      <c r="A13" s="33" t="s">
        <v>30</v>
      </c>
      <c r="B13" s="13" t="s">
        <v>32</v>
      </c>
      <c r="C13" s="13" t="s">
        <v>33</v>
      </c>
      <c r="D13" s="13"/>
      <c r="E13" s="22"/>
      <c r="F13" s="40"/>
      <c r="G13" s="38">
        <f>SUM(G14+G18)</f>
        <v>390</v>
      </c>
      <c r="H13" s="38">
        <f>SUM(H14+H18)</f>
        <v>326.88075</v>
      </c>
      <c r="I13" s="38">
        <f t="shared" si="0"/>
        <v>83.81557692307692</v>
      </c>
    </row>
    <row r="14" spans="1:9" ht="45" customHeight="1" outlineLevel="2">
      <c r="A14" s="33" t="s">
        <v>117</v>
      </c>
      <c r="B14" s="13" t="s">
        <v>32</v>
      </c>
      <c r="C14" s="13" t="s">
        <v>33</v>
      </c>
      <c r="D14" s="13" t="s">
        <v>12</v>
      </c>
      <c r="E14" s="22" t="s">
        <v>10</v>
      </c>
      <c r="F14" s="40"/>
      <c r="G14" s="38">
        <f>SUM(G15:G17)</f>
        <v>389.9</v>
      </c>
      <c r="H14" s="38">
        <f>SUM(H15:H17)</f>
        <v>326.88075</v>
      </c>
      <c r="I14" s="38">
        <f t="shared" si="0"/>
        <v>83.8370736086176</v>
      </c>
    </row>
    <row r="15" spans="1:9" ht="76.5" customHeight="1" outlineLevel="2">
      <c r="A15" s="33" t="s">
        <v>115</v>
      </c>
      <c r="B15" s="13" t="s">
        <v>32</v>
      </c>
      <c r="C15" s="13" t="s">
        <v>33</v>
      </c>
      <c r="D15" s="13" t="s">
        <v>12</v>
      </c>
      <c r="E15" s="22" t="s">
        <v>10</v>
      </c>
      <c r="F15" s="17">
        <v>100</v>
      </c>
      <c r="G15" s="38">
        <f>332.4-4.39844-0.35</f>
        <v>327.65155999999996</v>
      </c>
      <c r="H15" s="38">
        <v>291.93179</v>
      </c>
      <c r="I15" s="38">
        <f t="shared" si="0"/>
        <v>89.0982450991535</v>
      </c>
    </row>
    <row r="16" spans="1:9" s="3" customFormat="1" ht="31.5" outlineLevel="3">
      <c r="A16" s="33" t="s">
        <v>116</v>
      </c>
      <c r="B16" s="13" t="s">
        <v>32</v>
      </c>
      <c r="C16" s="13" t="s">
        <v>33</v>
      </c>
      <c r="D16" s="13" t="s">
        <v>12</v>
      </c>
      <c r="E16" s="22">
        <v>0</v>
      </c>
      <c r="F16" s="17">
        <v>200</v>
      </c>
      <c r="G16" s="38">
        <f>47.5+4.39844+0.35</f>
        <v>52.24844</v>
      </c>
      <c r="H16" s="38">
        <v>34.94896</v>
      </c>
      <c r="I16" s="38">
        <f t="shared" si="0"/>
        <v>66.88995881982314</v>
      </c>
    </row>
    <row r="17" spans="1:9" s="3" customFormat="1" ht="62.25" customHeight="1" outlineLevel="3">
      <c r="A17" s="33" t="s">
        <v>269</v>
      </c>
      <c r="B17" s="13" t="s">
        <v>32</v>
      </c>
      <c r="C17" s="13" t="s">
        <v>33</v>
      </c>
      <c r="D17" s="13" t="s">
        <v>12</v>
      </c>
      <c r="E17" s="22">
        <v>0</v>
      </c>
      <c r="F17" s="17">
        <v>200</v>
      </c>
      <c r="G17" s="38">
        <v>10</v>
      </c>
      <c r="H17" s="38">
        <v>0</v>
      </c>
      <c r="I17" s="38">
        <f t="shared" si="0"/>
        <v>0</v>
      </c>
    </row>
    <row r="18" spans="1:9" s="3" customFormat="1" ht="35.25" customHeight="1" outlineLevel="3">
      <c r="A18" s="33" t="s">
        <v>182</v>
      </c>
      <c r="B18" s="13" t="s">
        <v>32</v>
      </c>
      <c r="C18" s="13" t="s">
        <v>33</v>
      </c>
      <c r="D18" s="13" t="s">
        <v>16</v>
      </c>
      <c r="E18" s="22">
        <v>0</v>
      </c>
      <c r="F18" s="17"/>
      <c r="G18" s="41">
        <f>SUM(G19)</f>
        <v>0.1</v>
      </c>
      <c r="H18" s="41">
        <f>SUM(H19)</f>
        <v>0</v>
      </c>
      <c r="I18" s="38">
        <f t="shared" si="0"/>
        <v>0</v>
      </c>
    </row>
    <row r="19" spans="1:9" s="3" customFormat="1" ht="15.75" outlineLevel="3">
      <c r="A19" s="33" t="s">
        <v>167</v>
      </c>
      <c r="B19" s="13" t="s">
        <v>32</v>
      </c>
      <c r="C19" s="13" t="s">
        <v>33</v>
      </c>
      <c r="D19" s="13" t="s">
        <v>16</v>
      </c>
      <c r="E19" s="22">
        <v>0</v>
      </c>
      <c r="F19" s="17">
        <v>800</v>
      </c>
      <c r="G19" s="38">
        <f>0.05+0.05</f>
        <v>0.1</v>
      </c>
      <c r="H19" s="38">
        <v>0</v>
      </c>
      <c r="I19" s="38">
        <f t="shared" si="0"/>
        <v>0</v>
      </c>
    </row>
    <row r="20" spans="1:9" s="3" customFormat="1" ht="31.5" outlineLevel="3">
      <c r="A20" s="33" t="s">
        <v>35</v>
      </c>
      <c r="B20" s="13" t="s">
        <v>36</v>
      </c>
      <c r="C20" s="13"/>
      <c r="D20" s="13"/>
      <c r="E20" s="22"/>
      <c r="F20" s="40"/>
      <c r="G20" s="38">
        <f>SUM(G21)</f>
        <v>1486</v>
      </c>
      <c r="H20" s="38">
        <f>SUM(H21)</f>
        <v>933.50684</v>
      </c>
      <c r="I20" s="38">
        <f t="shared" si="0"/>
        <v>62.820110363391656</v>
      </c>
    </row>
    <row r="21" spans="1:9" s="3" customFormat="1" ht="15.75" outlineLevel="3">
      <c r="A21" s="33" t="s">
        <v>114</v>
      </c>
      <c r="B21" s="13" t="s">
        <v>36</v>
      </c>
      <c r="C21" s="13" t="s">
        <v>47</v>
      </c>
      <c r="D21" s="42"/>
      <c r="E21" s="43"/>
      <c r="F21" s="44"/>
      <c r="G21" s="38">
        <f>SUM(G22)</f>
        <v>1486</v>
      </c>
      <c r="H21" s="38">
        <f>SUM(H22)</f>
        <v>933.50684</v>
      </c>
      <c r="I21" s="38">
        <f t="shared" si="0"/>
        <v>62.820110363391656</v>
      </c>
    </row>
    <row r="22" spans="1:9" s="3" customFormat="1" ht="50.25" customHeight="1" outlineLevel="3">
      <c r="A22" s="33" t="s">
        <v>38</v>
      </c>
      <c r="B22" s="13" t="s">
        <v>36</v>
      </c>
      <c r="C22" s="13" t="s">
        <v>37</v>
      </c>
      <c r="D22" s="13"/>
      <c r="E22" s="22"/>
      <c r="F22" s="40"/>
      <c r="G22" s="38">
        <f>SUM(G23+G26)</f>
        <v>1486</v>
      </c>
      <c r="H22" s="38">
        <f>SUM(H23+H26)</f>
        <v>933.50684</v>
      </c>
      <c r="I22" s="38">
        <f t="shared" si="0"/>
        <v>62.820110363391656</v>
      </c>
    </row>
    <row r="23" spans="1:9" s="3" customFormat="1" ht="51" customHeight="1" outlineLevel="3">
      <c r="A23" s="33" t="s">
        <v>117</v>
      </c>
      <c r="B23" s="13" t="s">
        <v>36</v>
      </c>
      <c r="C23" s="13" t="s">
        <v>37</v>
      </c>
      <c r="D23" s="13" t="s">
        <v>12</v>
      </c>
      <c r="E23" s="22" t="s">
        <v>10</v>
      </c>
      <c r="F23" s="40"/>
      <c r="G23" s="38">
        <f>SUM(G24:G25)</f>
        <v>1485.5</v>
      </c>
      <c r="H23" s="38">
        <f>SUM(H24:H25)</f>
        <v>933.50684</v>
      </c>
      <c r="I23" s="38">
        <f t="shared" si="0"/>
        <v>62.841254796364865</v>
      </c>
    </row>
    <row r="24" spans="1:9" s="3" customFormat="1" ht="78" customHeight="1" outlineLevel="3">
      <c r="A24" s="33" t="s">
        <v>115</v>
      </c>
      <c r="B24" s="13" t="s">
        <v>36</v>
      </c>
      <c r="C24" s="13" t="s">
        <v>37</v>
      </c>
      <c r="D24" s="13" t="s">
        <v>12</v>
      </c>
      <c r="E24" s="22" t="s">
        <v>10</v>
      </c>
      <c r="F24" s="17">
        <v>100</v>
      </c>
      <c r="G24" s="38">
        <v>1460.8</v>
      </c>
      <c r="H24" s="38">
        <v>933.50684</v>
      </c>
      <c r="I24" s="38">
        <f t="shared" si="0"/>
        <v>63.90380887185104</v>
      </c>
    </row>
    <row r="25" spans="1:9" s="3" customFormat="1" ht="31.5" outlineLevel="3">
      <c r="A25" s="33" t="s">
        <v>116</v>
      </c>
      <c r="B25" s="13" t="s">
        <v>36</v>
      </c>
      <c r="C25" s="13" t="s">
        <v>37</v>
      </c>
      <c r="D25" s="13" t="s">
        <v>12</v>
      </c>
      <c r="E25" s="22">
        <v>0</v>
      </c>
      <c r="F25" s="17">
        <v>200</v>
      </c>
      <c r="G25" s="38">
        <v>24.7</v>
      </c>
      <c r="H25" s="38">
        <v>0</v>
      </c>
      <c r="I25" s="38">
        <f t="shared" si="0"/>
        <v>0</v>
      </c>
    </row>
    <row r="26" spans="1:9" s="3" customFormat="1" ht="36.75" customHeight="1" outlineLevel="3">
      <c r="A26" s="33" t="s">
        <v>182</v>
      </c>
      <c r="B26" s="13" t="s">
        <v>36</v>
      </c>
      <c r="C26" s="13" t="s">
        <v>37</v>
      </c>
      <c r="D26" s="13" t="s">
        <v>16</v>
      </c>
      <c r="E26" s="22">
        <v>0</v>
      </c>
      <c r="F26" s="17"/>
      <c r="G26" s="41">
        <f>SUM(G27)</f>
        <v>0.5</v>
      </c>
      <c r="H26" s="41">
        <f>SUM(H27)</f>
        <v>0</v>
      </c>
      <c r="I26" s="38">
        <f t="shared" si="0"/>
        <v>0</v>
      </c>
    </row>
    <row r="27" spans="1:9" s="3" customFormat="1" ht="15.75" outlineLevel="3">
      <c r="A27" s="33" t="s">
        <v>167</v>
      </c>
      <c r="B27" s="13" t="s">
        <v>36</v>
      </c>
      <c r="C27" s="13" t="s">
        <v>37</v>
      </c>
      <c r="D27" s="13" t="s">
        <v>16</v>
      </c>
      <c r="E27" s="22">
        <v>0</v>
      </c>
      <c r="F27" s="17">
        <v>800</v>
      </c>
      <c r="G27" s="38">
        <f>0.5</f>
        <v>0.5</v>
      </c>
      <c r="H27" s="38">
        <v>0</v>
      </c>
      <c r="I27" s="38">
        <f t="shared" si="0"/>
        <v>0</v>
      </c>
    </row>
    <row r="28" spans="1:9" s="3" customFormat="1" ht="23.25" customHeight="1" outlineLevel="3">
      <c r="A28" s="33" t="s">
        <v>118</v>
      </c>
      <c r="B28" s="13" t="s">
        <v>45</v>
      </c>
      <c r="C28" s="13"/>
      <c r="D28" s="13"/>
      <c r="E28" s="22"/>
      <c r="F28" s="40"/>
      <c r="G28" s="38">
        <f>SUM(G29+G92+G97+G104+G124+G145+G148+G246+G281+G304+G315+G321+G325+G276)</f>
        <v>325893.89719999995</v>
      </c>
      <c r="H28" s="38">
        <f>SUM(H29+H92+H97+H104+H124+H145+H148+H246+H281+H304+H315+H321+H325+H276)</f>
        <v>243726.44074000002</v>
      </c>
      <c r="I28" s="38">
        <f t="shared" si="0"/>
        <v>74.78705272913594</v>
      </c>
    </row>
    <row r="29" spans="1:9" s="3" customFormat="1" ht="15.75" outlineLevel="3">
      <c r="A29" s="33" t="s">
        <v>114</v>
      </c>
      <c r="B29" s="13" t="s">
        <v>45</v>
      </c>
      <c r="C29" s="13" t="s">
        <v>47</v>
      </c>
      <c r="D29" s="13"/>
      <c r="E29" s="22"/>
      <c r="F29" s="17"/>
      <c r="G29" s="38">
        <f>SUM(G30+G33+G56+G60+G63+G52)</f>
        <v>63347.31</v>
      </c>
      <c r="H29" s="38">
        <f>SUM(H30+H33+H56+H60+H63+H52)</f>
        <v>49672.4404</v>
      </c>
      <c r="I29" s="38">
        <f t="shared" si="0"/>
        <v>78.4128645715185</v>
      </c>
    </row>
    <row r="30" spans="1:9" s="3" customFormat="1" ht="47.25" outlineLevel="3">
      <c r="A30" s="33" t="s">
        <v>39</v>
      </c>
      <c r="B30" s="13" t="s">
        <v>45</v>
      </c>
      <c r="C30" s="13" t="s">
        <v>48</v>
      </c>
      <c r="D30" s="13"/>
      <c r="E30" s="22"/>
      <c r="F30" s="40"/>
      <c r="G30" s="38">
        <f>SUM(G32)</f>
        <v>1367.1</v>
      </c>
      <c r="H30" s="38">
        <f>SUM(H32)</f>
        <v>1167.44662</v>
      </c>
      <c r="I30" s="38">
        <f t="shared" si="0"/>
        <v>85.39584668275913</v>
      </c>
    </row>
    <row r="31" spans="1:9" s="3" customFormat="1" ht="53.25" customHeight="1" outlineLevel="3">
      <c r="A31" s="33" t="s">
        <v>117</v>
      </c>
      <c r="B31" s="13" t="s">
        <v>45</v>
      </c>
      <c r="C31" s="13" t="s">
        <v>48</v>
      </c>
      <c r="D31" s="13" t="s">
        <v>12</v>
      </c>
      <c r="E31" s="22" t="s">
        <v>10</v>
      </c>
      <c r="F31" s="17"/>
      <c r="G31" s="38">
        <f>SUM(G32)</f>
        <v>1367.1</v>
      </c>
      <c r="H31" s="38">
        <f>SUM(H32)</f>
        <v>1167.44662</v>
      </c>
      <c r="I31" s="38">
        <f t="shared" si="0"/>
        <v>85.39584668275913</v>
      </c>
    </row>
    <row r="32" spans="1:9" ht="76.5" customHeight="1" outlineLevel="1">
      <c r="A32" s="33" t="s">
        <v>115</v>
      </c>
      <c r="B32" s="13" t="s">
        <v>45</v>
      </c>
      <c r="C32" s="13" t="s">
        <v>48</v>
      </c>
      <c r="D32" s="13" t="s">
        <v>12</v>
      </c>
      <c r="E32" s="22">
        <v>0</v>
      </c>
      <c r="F32" s="17">
        <v>100</v>
      </c>
      <c r="G32" s="38">
        <v>1367.1</v>
      </c>
      <c r="H32" s="38">
        <v>1167.44662</v>
      </c>
      <c r="I32" s="38">
        <f t="shared" si="0"/>
        <v>85.39584668275913</v>
      </c>
    </row>
    <row r="33" spans="1:9" ht="60.75" customHeight="1" outlineLevel="2">
      <c r="A33" s="36" t="s">
        <v>40</v>
      </c>
      <c r="B33" s="13" t="s">
        <v>45</v>
      </c>
      <c r="C33" s="13" t="s">
        <v>46</v>
      </c>
      <c r="D33" s="13"/>
      <c r="E33" s="22"/>
      <c r="F33" s="17"/>
      <c r="G33" s="38">
        <f>SUM(G34+G50)</f>
        <v>28275</v>
      </c>
      <c r="H33" s="38">
        <f>SUM(H34+H50)</f>
        <v>21069.44961</v>
      </c>
      <c r="I33" s="38">
        <f t="shared" si="0"/>
        <v>74.51617899204244</v>
      </c>
    </row>
    <row r="34" spans="1:9" s="3" customFormat="1" ht="54.75" customHeight="1" outlineLevel="3">
      <c r="A34" s="33" t="s">
        <v>117</v>
      </c>
      <c r="B34" s="13" t="s">
        <v>45</v>
      </c>
      <c r="C34" s="13" t="s">
        <v>46</v>
      </c>
      <c r="D34" s="13" t="s">
        <v>12</v>
      </c>
      <c r="E34" s="22">
        <v>0</v>
      </c>
      <c r="F34" s="17"/>
      <c r="G34" s="38">
        <f>SUM(G35+G38)</f>
        <v>28175</v>
      </c>
      <c r="H34" s="38">
        <f>SUM(H35+H38)</f>
        <v>21012.19961</v>
      </c>
      <c r="I34" s="38">
        <f t="shared" si="0"/>
        <v>74.57746090505766</v>
      </c>
    </row>
    <row r="35" spans="1:9" ht="15.75" outlineLevel="1">
      <c r="A35" s="36" t="s">
        <v>3</v>
      </c>
      <c r="B35" s="13" t="s">
        <v>45</v>
      </c>
      <c r="C35" s="13" t="s">
        <v>46</v>
      </c>
      <c r="D35" s="13" t="s">
        <v>12</v>
      </c>
      <c r="E35" s="22">
        <v>0</v>
      </c>
      <c r="F35" s="17"/>
      <c r="G35" s="38">
        <f>SUM(G36:G37)</f>
        <v>26868.9</v>
      </c>
      <c r="H35" s="38">
        <f>SUM(H36:H37)</f>
        <v>20026.64977</v>
      </c>
      <c r="I35" s="38">
        <f t="shared" si="0"/>
        <v>74.53468422600106</v>
      </c>
    </row>
    <row r="36" spans="1:9" ht="80.25" customHeight="1" outlineLevel="2">
      <c r="A36" s="36" t="s">
        <v>115</v>
      </c>
      <c r="B36" s="13" t="s">
        <v>45</v>
      </c>
      <c r="C36" s="13" t="s">
        <v>46</v>
      </c>
      <c r="D36" s="13" t="s">
        <v>12</v>
      </c>
      <c r="E36" s="22">
        <v>0</v>
      </c>
      <c r="F36" s="17">
        <v>100</v>
      </c>
      <c r="G36" s="38">
        <f>24910+418</f>
        <v>25328</v>
      </c>
      <c r="H36" s="38">
        <v>19524.78861</v>
      </c>
      <c r="I36" s="38">
        <f t="shared" si="0"/>
        <v>77.08776298957675</v>
      </c>
    </row>
    <row r="37" spans="1:9" ht="31.5">
      <c r="A37" s="36" t="s">
        <v>116</v>
      </c>
      <c r="B37" s="13" t="s">
        <v>45</v>
      </c>
      <c r="C37" s="13" t="s">
        <v>46</v>
      </c>
      <c r="D37" s="13" t="s">
        <v>12</v>
      </c>
      <c r="E37" s="22">
        <v>0</v>
      </c>
      <c r="F37" s="17">
        <v>200</v>
      </c>
      <c r="G37" s="38">
        <v>1540.9</v>
      </c>
      <c r="H37" s="38">
        <v>501.86116</v>
      </c>
      <c r="I37" s="38">
        <f t="shared" si="0"/>
        <v>32.569352975533775</v>
      </c>
    </row>
    <row r="38" spans="1:9" ht="50.25" customHeight="1" outlineLevel="2">
      <c r="A38" s="33" t="s">
        <v>117</v>
      </c>
      <c r="B38" s="13" t="s">
        <v>45</v>
      </c>
      <c r="C38" s="13" t="s">
        <v>46</v>
      </c>
      <c r="D38" s="13" t="s">
        <v>12</v>
      </c>
      <c r="E38" s="22" t="s">
        <v>10</v>
      </c>
      <c r="F38" s="40"/>
      <c r="G38" s="45">
        <f>SUM(G39+G42+G45+G48)</f>
        <v>1306.1</v>
      </c>
      <c r="H38" s="45">
        <f>SUM(H39+H42+H45+H48)</f>
        <v>985.5498400000001</v>
      </c>
      <c r="I38" s="38">
        <f t="shared" si="0"/>
        <v>75.45745655003448</v>
      </c>
    </row>
    <row r="39" spans="1:9" ht="48.75" customHeight="1" outlineLevel="1">
      <c r="A39" s="33" t="s">
        <v>120</v>
      </c>
      <c r="B39" s="13" t="s">
        <v>45</v>
      </c>
      <c r="C39" s="13" t="s">
        <v>46</v>
      </c>
      <c r="D39" s="13" t="s">
        <v>12</v>
      </c>
      <c r="E39" s="22" t="s">
        <v>10</v>
      </c>
      <c r="F39" s="40"/>
      <c r="G39" s="38">
        <f>SUM(G40:G41)</f>
        <v>223.4</v>
      </c>
      <c r="H39" s="38">
        <f>SUM(H40:H41)</f>
        <v>206.79152</v>
      </c>
      <c r="I39" s="38">
        <f t="shared" si="0"/>
        <v>92.56558639212174</v>
      </c>
    </row>
    <row r="40" spans="1:9" ht="81.75" customHeight="1" outlineLevel="5">
      <c r="A40" s="33" t="s">
        <v>115</v>
      </c>
      <c r="B40" s="13" t="s">
        <v>45</v>
      </c>
      <c r="C40" s="13" t="s">
        <v>46</v>
      </c>
      <c r="D40" s="13" t="s">
        <v>12</v>
      </c>
      <c r="E40" s="22" t="s">
        <v>10</v>
      </c>
      <c r="F40" s="17">
        <v>100</v>
      </c>
      <c r="G40" s="45">
        <v>216.3</v>
      </c>
      <c r="H40" s="45">
        <v>206.79152</v>
      </c>
      <c r="I40" s="38">
        <f t="shared" si="0"/>
        <v>95.60403143781784</v>
      </c>
    </row>
    <row r="41" spans="1:9" ht="31.5" outlineLevel="5">
      <c r="A41" s="33" t="s">
        <v>116</v>
      </c>
      <c r="B41" s="13" t="s">
        <v>45</v>
      </c>
      <c r="C41" s="13" t="s">
        <v>46</v>
      </c>
      <c r="D41" s="13" t="s">
        <v>12</v>
      </c>
      <c r="E41" s="22" t="s">
        <v>10</v>
      </c>
      <c r="F41" s="17">
        <v>200</v>
      </c>
      <c r="G41" s="45">
        <f>81.8-74.7</f>
        <v>7.099999999999994</v>
      </c>
      <c r="H41" s="45">
        <f>81.8-81.8</f>
        <v>0</v>
      </c>
      <c r="I41" s="38">
        <f t="shared" si="0"/>
        <v>0</v>
      </c>
    </row>
    <row r="42" spans="1:9" ht="33" customHeight="1" outlineLevel="5">
      <c r="A42" s="33" t="s">
        <v>121</v>
      </c>
      <c r="B42" s="13" t="s">
        <v>45</v>
      </c>
      <c r="C42" s="13" t="s">
        <v>46</v>
      </c>
      <c r="D42" s="13" t="s">
        <v>12</v>
      </c>
      <c r="E42" s="22" t="s">
        <v>10</v>
      </c>
      <c r="F42" s="40"/>
      <c r="G42" s="38">
        <f>SUM(G43:G44)</f>
        <v>447.2</v>
      </c>
      <c r="H42" s="38">
        <f>SUM(H43:H44)</f>
        <v>430.97511000000003</v>
      </c>
      <c r="I42" s="38">
        <f t="shared" si="0"/>
        <v>96.37189400715565</v>
      </c>
    </row>
    <row r="43" spans="1:9" ht="76.5" customHeight="1" outlineLevel="2">
      <c r="A43" s="33" t="s">
        <v>115</v>
      </c>
      <c r="B43" s="13" t="s">
        <v>45</v>
      </c>
      <c r="C43" s="13" t="s">
        <v>46</v>
      </c>
      <c r="D43" s="13" t="s">
        <v>12</v>
      </c>
      <c r="E43" s="22" t="s">
        <v>10</v>
      </c>
      <c r="F43" s="17">
        <v>100</v>
      </c>
      <c r="G43" s="38">
        <f>581.2-2.6-184.1+17</f>
        <v>411.5</v>
      </c>
      <c r="H43" s="38">
        <v>406.56441</v>
      </c>
      <c r="I43" s="38">
        <f t="shared" si="0"/>
        <v>98.80058566221143</v>
      </c>
    </row>
    <row r="44" spans="1:9" ht="31.5" outlineLevel="4">
      <c r="A44" s="33" t="s">
        <v>116</v>
      </c>
      <c r="B44" s="13" t="s">
        <v>45</v>
      </c>
      <c r="C44" s="13" t="s">
        <v>46</v>
      </c>
      <c r="D44" s="13" t="s">
        <v>12</v>
      </c>
      <c r="E44" s="22" t="s">
        <v>10</v>
      </c>
      <c r="F44" s="17">
        <v>200</v>
      </c>
      <c r="G44" s="38">
        <f>102.7-50-17</f>
        <v>35.7</v>
      </c>
      <c r="H44" s="38">
        <v>24.4107</v>
      </c>
      <c r="I44" s="38">
        <f t="shared" si="0"/>
        <v>68.37731092436974</v>
      </c>
    </row>
    <row r="45" spans="1:9" s="12" customFormat="1" ht="48.75" customHeight="1" outlineLevel="5">
      <c r="A45" s="33" t="s">
        <v>119</v>
      </c>
      <c r="B45" s="13" t="s">
        <v>45</v>
      </c>
      <c r="C45" s="13" t="s">
        <v>46</v>
      </c>
      <c r="D45" s="13" t="s">
        <v>12</v>
      </c>
      <c r="E45" s="22" t="s">
        <v>10</v>
      </c>
      <c r="F45" s="40"/>
      <c r="G45" s="38">
        <f>SUM(G46:G47)</f>
        <v>316</v>
      </c>
      <c r="H45" s="38">
        <f>SUM(H46:H47)</f>
        <v>221.97935</v>
      </c>
      <c r="I45" s="38">
        <f t="shared" si="0"/>
        <v>70.24662974683544</v>
      </c>
    </row>
    <row r="46" spans="1:9" ht="78.75" customHeight="1" outlineLevel="5">
      <c r="A46" s="33" t="s">
        <v>115</v>
      </c>
      <c r="B46" s="13" t="s">
        <v>45</v>
      </c>
      <c r="C46" s="13" t="s">
        <v>46</v>
      </c>
      <c r="D46" s="13" t="s">
        <v>12</v>
      </c>
      <c r="E46" s="22" t="s">
        <v>10</v>
      </c>
      <c r="F46" s="17">
        <v>100</v>
      </c>
      <c r="G46" s="45">
        <f>297-7.9</f>
        <v>289.1</v>
      </c>
      <c r="H46" s="45">
        <v>203.07855</v>
      </c>
      <c r="I46" s="38">
        <f t="shared" si="0"/>
        <v>70.24508820477344</v>
      </c>
    </row>
    <row r="47" spans="1:9" ht="31.5" outlineLevel="4">
      <c r="A47" s="33" t="s">
        <v>116</v>
      </c>
      <c r="B47" s="13" t="s">
        <v>45</v>
      </c>
      <c r="C47" s="13" t="s">
        <v>46</v>
      </c>
      <c r="D47" s="13" t="s">
        <v>12</v>
      </c>
      <c r="E47" s="22" t="s">
        <v>10</v>
      </c>
      <c r="F47" s="17">
        <v>200</v>
      </c>
      <c r="G47" s="45">
        <v>26.9</v>
      </c>
      <c r="H47" s="45">
        <v>18.9008</v>
      </c>
      <c r="I47" s="38">
        <f t="shared" si="0"/>
        <v>70.26319702602231</v>
      </c>
    </row>
    <row r="48" spans="1:9" ht="64.5" customHeight="1" outlineLevel="5">
      <c r="A48" s="33" t="s">
        <v>122</v>
      </c>
      <c r="B48" s="13" t="s">
        <v>45</v>
      </c>
      <c r="C48" s="13" t="s">
        <v>46</v>
      </c>
      <c r="D48" s="13" t="s">
        <v>12</v>
      </c>
      <c r="E48" s="22" t="s">
        <v>10</v>
      </c>
      <c r="F48" s="40"/>
      <c r="G48" s="38">
        <f>SUM(G49:G49)</f>
        <v>319.5</v>
      </c>
      <c r="H48" s="38">
        <f>SUM(H49:H49)</f>
        <v>125.80386</v>
      </c>
      <c r="I48" s="38">
        <f t="shared" si="0"/>
        <v>39.37523004694835</v>
      </c>
    </row>
    <row r="49" spans="1:9" ht="31.5" outlineLevel="5">
      <c r="A49" s="33" t="s">
        <v>116</v>
      </c>
      <c r="B49" s="13" t="s">
        <v>45</v>
      </c>
      <c r="C49" s="13" t="s">
        <v>46</v>
      </c>
      <c r="D49" s="13" t="s">
        <v>12</v>
      </c>
      <c r="E49" s="22" t="s">
        <v>10</v>
      </c>
      <c r="F49" s="17">
        <v>200</v>
      </c>
      <c r="G49" s="38">
        <f>87+114.2+118.3</f>
        <v>319.5</v>
      </c>
      <c r="H49" s="38">
        <v>125.80386</v>
      </c>
      <c r="I49" s="38">
        <f t="shared" si="0"/>
        <v>39.37523004694835</v>
      </c>
    </row>
    <row r="50" spans="1:9" ht="63" outlineLevel="2">
      <c r="A50" s="33" t="s">
        <v>223</v>
      </c>
      <c r="B50" s="13" t="s">
        <v>45</v>
      </c>
      <c r="C50" s="13" t="s">
        <v>46</v>
      </c>
      <c r="D50" s="13" t="s">
        <v>2</v>
      </c>
      <c r="E50" s="22">
        <v>0</v>
      </c>
      <c r="F50" s="17"/>
      <c r="G50" s="38">
        <f>SUM(G51)</f>
        <v>100</v>
      </c>
      <c r="H50" s="38">
        <f>SUM(H51)</f>
        <v>57.25</v>
      </c>
      <c r="I50" s="38">
        <f t="shared" si="0"/>
        <v>57.25</v>
      </c>
    </row>
    <row r="51" spans="1:9" ht="31.5" outlineLevel="2">
      <c r="A51" s="33" t="s">
        <v>116</v>
      </c>
      <c r="B51" s="13" t="s">
        <v>45</v>
      </c>
      <c r="C51" s="13" t="s">
        <v>46</v>
      </c>
      <c r="D51" s="13" t="s">
        <v>2</v>
      </c>
      <c r="E51" s="22">
        <v>0</v>
      </c>
      <c r="F51" s="17">
        <v>200</v>
      </c>
      <c r="G51" s="38">
        <f>50+50</f>
        <v>100</v>
      </c>
      <c r="H51" s="38">
        <v>57.25</v>
      </c>
      <c r="I51" s="38">
        <f t="shared" si="0"/>
        <v>57.25</v>
      </c>
    </row>
    <row r="52" spans="1:9" ht="15.75" outlineLevel="2">
      <c r="A52" s="33" t="s">
        <v>41</v>
      </c>
      <c r="B52" s="13" t="s">
        <v>45</v>
      </c>
      <c r="C52" s="13" t="s">
        <v>49</v>
      </c>
      <c r="D52" s="13"/>
      <c r="E52" s="22"/>
      <c r="F52" s="17"/>
      <c r="G52" s="38">
        <f aca="true" t="shared" si="1" ref="G52:H54">SUM(G53)</f>
        <v>0</v>
      </c>
      <c r="H52" s="38">
        <f t="shared" si="1"/>
        <v>0</v>
      </c>
      <c r="I52" s="38">
        <v>0</v>
      </c>
    </row>
    <row r="53" spans="1:9" ht="48.75" customHeight="1" outlineLevel="2">
      <c r="A53" s="33" t="s">
        <v>228</v>
      </c>
      <c r="B53" s="13" t="s">
        <v>45</v>
      </c>
      <c r="C53" s="13" t="s">
        <v>49</v>
      </c>
      <c r="D53" s="13" t="s">
        <v>16</v>
      </c>
      <c r="E53" s="22">
        <v>0</v>
      </c>
      <c r="F53" s="17"/>
      <c r="G53" s="38">
        <f t="shared" si="1"/>
        <v>0</v>
      </c>
      <c r="H53" s="38">
        <f t="shared" si="1"/>
        <v>0</v>
      </c>
      <c r="I53" s="38">
        <v>0</v>
      </c>
    </row>
    <row r="54" spans="1:9" ht="33.75" customHeight="1" outlineLevel="2">
      <c r="A54" s="33" t="s">
        <v>182</v>
      </c>
      <c r="B54" s="13" t="s">
        <v>45</v>
      </c>
      <c r="C54" s="13" t="s">
        <v>49</v>
      </c>
      <c r="D54" s="13" t="s">
        <v>16</v>
      </c>
      <c r="E54" s="22">
        <v>0</v>
      </c>
      <c r="F54" s="17"/>
      <c r="G54" s="38">
        <f t="shared" si="1"/>
        <v>0</v>
      </c>
      <c r="H54" s="38">
        <f t="shared" si="1"/>
        <v>0</v>
      </c>
      <c r="I54" s="38">
        <v>0</v>
      </c>
    </row>
    <row r="55" spans="1:9" ht="31.5" outlineLevel="2">
      <c r="A55" s="33" t="s">
        <v>116</v>
      </c>
      <c r="B55" s="13" t="s">
        <v>45</v>
      </c>
      <c r="C55" s="13" t="s">
        <v>49</v>
      </c>
      <c r="D55" s="13" t="s">
        <v>16</v>
      </c>
      <c r="E55" s="22">
        <v>0</v>
      </c>
      <c r="F55" s="17">
        <v>200</v>
      </c>
      <c r="G55" s="38">
        <v>0</v>
      </c>
      <c r="H55" s="38">
        <v>0</v>
      </c>
      <c r="I55" s="38">
        <v>0</v>
      </c>
    </row>
    <row r="56" spans="1:9" ht="17.25" customHeight="1" outlineLevel="2">
      <c r="A56" s="33" t="s">
        <v>42</v>
      </c>
      <c r="B56" s="13" t="s">
        <v>45</v>
      </c>
      <c r="C56" s="13" t="s">
        <v>50</v>
      </c>
      <c r="D56" s="13"/>
      <c r="E56" s="22"/>
      <c r="F56" s="17"/>
      <c r="G56" s="38">
        <f>SUM(G57)</f>
        <v>0</v>
      </c>
      <c r="H56" s="38">
        <f>SUM(H57)</f>
        <v>0</v>
      </c>
      <c r="I56" s="38">
        <v>0</v>
      </c>
    </row>
    <row r="57" spans="1:9" ht="15.75" outlineLevel="5">
      <c r="A57" s="33" t="s">
        <v>43</v>
      </c>
      <c r="B57" s="13" t="s">
        <v>45</v>
      </c>
      <c r="C57" s="13" t="s">
        <v>50</v>
      </c>
      <c r="D57" s="13" t="s">
        <v>16</v>
      </c>
      <c r="E57" s="22" t="s">
        <v>10</v>
      </c>
      <c r="F57" s="17"/>
      <c r="G57" s="38">
        <f>SUM(G58)</f>
        <v>0</v>
      </c>
      <c r="H57" s="38">
        <f>SUM(H58)</f>
        <v>0</v>
      </c>
      <c r="I57" s="38">
        <v>0</v>
      </c>
    </row>
    <row r="58" spans="1:9" ht="39" customHeight="1" outlineLevel="2">
      <c r="A58" s="33" t="s">
        <v>182</v>
      </c>
      <c r="B58" s="13" t="s">
        <v>45</v>
      </c>
      <c r="C58" s="13" t="s">
        <v>50</v>
      </c>
      <c r="D58" s="13" t="s">
        <v>16</v>
      </c>
      <c r="E58" s="22" t="s">
        <v>10</v>
      </c>
      <c r="F58" s="17"/>
      <c r="G58" s="38">
        <f aca="true" t="shared" si="2" ref="G58:H61">SUM(G59)</f>
        <v>0</v>
      </c>
      <c r="H58" s="38">
        <f t="shared" si="2"/>
        <v>0</v>
      </c>
      <c r="I58" s="38">
        <v>0</v>
      </c>
    </row>
    <row r="59" spans="1:9" ht="31.5" outlineLevel="5">
      <c r="A59" s="33" t="s">
        <v>116</v>
      </c>
      <c r="B59" s="13" t="s">
        <v>45</v>
      </c>
      <c r="C59" s="13" t="s">
        <v>50</v>
      </c>
      <c r="D59" s="13" t="s">
        <v>16</v>
      </c>
      <c r="E59" s="22">
        <v>0</v>
      </c>
      <c r="F59" s="17">
        <v>200</v>
      </c>
      <c r="G59" s="38">
        <v>0</v>
      </c>
      <c r="H59" s="38">
        <v>0</v>
      </c>
      <c r="I59" s="38">
        <v>0</v>
      </c>
    </row>
    <row r="60" spans="1:9" ht="15.75" outlineLevel="1">
      <c r="A60" s="33" t="s">
        <v>44</v>
      </c>
      <c r="B60" s="13" t="s">
        <v>45</v>
      </c>
      <c r="C60" s="13" t="s">
        <v>51</v>
      </c>
      <c r="D60" s="13"/>
      <c r="E60" s="22"/>
      <c r="F60" s="17"/>
      <c r="G60" s="38">
        <f t="shared" si="2"/>
        <v>320</v>
      </c>
      <c r="H60" s="38">
        <f t="shared" si="2"/>
        <v>0</v>
      </c>
      <c r="I60" s="38">
        <f t="shared" si="0"/>
        <v>0</v>
      </c>
    </row>
    <row r="61" spans="1:9" ht="38.25" customHeight="1" outlineLevel="2">
      <c r="A61" s="33" t="s">
        <v>182</v>
      </c>
      <c r="B61" s="13" t="s">
        <v>45</v>
      </c>
      <c r="C61" s="13" t="s">
        <v>51</v>
      </c>
      <c r="D61" s="13" t="s">
        <v>16</v>
      </c>
      <c r="E61" s="22" t="s">
        <v>10</v>
      </c>
      <c r="F61" s="17"/>
      <c r="G61" s="38">
        <f t="shared" si="2"/>
        <v>320</v>
      </c>
      <c r="H61" s="38">
        <f t="shared" si="2"/>
        <v>0</v>
      </c>
      <c r="I61" s="38">
        <f t="shared" si="0"/>
        <v>0</v>
      </c>
    </row>
    <row r="62" spans="1:9" ht="15.75" outlineLevel="2">
      <c r="A62" s="33" t="s">
        <v>167</v>
      </c>
      <c r="B62" s="13" t="s">
        <v>45</v>
      </c>
      <c r="C62" s="13" t="s">
        <v>51</v>
      </c>
      <c r="D62" s="13" t="s">
        <v>16</v>
      </c>
      <c r="E62" s="22" t="s">
        <v>10</v>
      </c>
      <c r="F62" s="17">
        <v>800</v>
      </c>
      <c r="G62" s="38">
        <v>320</v>
      </c>
      <c r="H62" s="38">
        <v>0</v>
      </c>
      <c r="I62" s="38">
        <f t="shared" si="0"/>
        <v>0</v>
      </c>
    </row>
    <row r="63" spans="1:9" ht="15.75" outlineLevel="2">
      <c r="A63" s="33" t="s">
        <v>52</v>
      </c>
      <c r="B63" s="13" t="s">
        <v>45</v>
      </c>
      <c r="C63" s="13" t="s">
        <v>34</v>
      </c>
      <c r="D63" s="13"/>
      <c r="E63" s="22"/>
      <c r="F63" s="17"/>
      <c r="G63" s="38">
        <f>SUM(G64+G71+G75+G77+G79+G83+G86+G91+G73+G69)</f>
        <v>33385.21</v>
      </c>
      <c r="H63" s="38">
        <f>SUM(H64+H71+H75+H77+H79+H83+H86+H91+H73+H69)</f>
        <v>27435.54417</v>
      </c>
      <c r="I63" s="38">
        <f t="shared" si="0"/>
        <v>82.17873774045454</v>
      </c>
    </row>
    <row r="64" spans="1:9" ht="50.25" customHeight="1" outlineLevel="2">
      <c r="A64" s="33" t="s">
        <v>224</v>
      </c>
      <c r="B64" s="13" t="s">
        <v>45</v>
      </c>
      <c r="C64" s="13" t="s">
        <v>34</v>
      </c>
      <c r="D64" s="13" t="s">
        <v>6</v>
      </c>
      <c r="E64" s="22">
        <v>0</v>
      </c>
      <c r="F64" s="17"/>
      <c r="G64" s="38">
        <f>SUM(G67+G65)</f>
        <v>2180</v>
      </c>
      <c r="H64" s="38">
        <f>SUM(H67+H65)</f>
        <v>572.32</v>
      </c>
      <c r="I64" s="38">
        <f t="shared" si="0"/>
        <v>26.253211009174315</v>
      </c>
    </row>
    <row r="65" spans="1:9" ht="52.5" customHeight="1" outlineLevel="2">
      <c r="A65" s="33" t="s">
        <v>240</v>
      </c>
      <c r="B65" s="13" t="s">
        <v>45</v>
      </c>
      <c r="C65" s="13" t="s">
        <v>34</v>
      </c>
      <c r="D65" s="13" t="s">
        <v>6</v>
      </c>
      <c r="E65" s="22">
        <v>3</v>
      </c>
      <c r="F65" s="17"/>
      <c r="G65" s="38">
        <f>SUM(G66:G66)</f>
        <v>2000</v>
      </c>
      <c r="H65" s="38">
        <f>SUM(H66:H66)</f>
        <v>499.85</v>
      </c>
      <c r="I65" s="38">
        <f t="shared" si="0"/>
        <v>24.9925</v>
      </c>
    </row>
    <row r="66" spans="1:9" ht="34.5" customHeight="1" outlineLevel="2">
      <c r="A66" s="33" t="s">
        <v>183</v>
      </c>
      <c r="B66" s="13" t="s">
        <v>45</v>
      </c>
      <c r="C66" s="13" t="s">
        <v>34</v>
      </c>
      <c r="D66" s="13" t="s">
        <v>6</v>
      </c>
      <c r="E66" s="22">
        <v>3</v>
      </c>
      <c r="F66" s="17">
        <v>600</v>
      </c>
      <c r="G66" s="38">
        <f>4113-2113</f>
        <v>2000</v>
      </c>
      <c r="H66" s="38">
        <v>499.85</v>
      </c>
      <c r="I66" s="38">
        <f t="shared" si="0"/>
        <v>24.9925</v>
      </c>
    </row>
    <row r="67" spans="1:9" ht="47.25" outlineLevel="2">
      <c r="A67" s="33" t="s">
        <v>218</v>
      </c>
      <c r="B67" s="13" t="s">
        <v>45</v>
      </c>
      <c r="C67" s="13" t="s">
        <v>34</v>
      </c>
      <c r="D67" s="13" t="s">
        <v>6</v>
      </c>
      <c r="E67" s="22">
        <v>4</v>
      </c>
      <c r="F67" s="17"/>
      <c r="G67" s="38">
        <f>SUM(G68)</f>
        <v>180</v>
      </c>
      <c r="H67" s="38">
        <f>SUM(H68)</f>
        <v>72.47</v>
      </c>
      <c r="I67" s="38">
        <f t="shared" si="0"/>
        <v>40.261111111111106</v>
      </c>
    </row>
    <row r="68" spans="1:9" ht="37.5" customHeight="1" outlineLevel="2">
      <c r="A68" s="33" t="s">
        <v>183</v>
      </c>
      <c r="B68" s="13" t="s">
        <v>45</v>
      </c>
      <c r="C68" s="13" t="s">
        <v>34</v>
      </c>
      <c r="D68" s="13" t="s">
        <v>6</v>
      </c>
      <c r="E68" s="22">
        <v>4</v>
      </c>
      <c r="F68" s="17">
        <v>600</v>
      </c>
      <c r="G68" s="38">
        <f>300-120</f>
        <v>180</v>
      </c>
      <c r="H68" s="38">
        <v>72.47</v>
      </c>
      <c r="I68" s="38">
        <f t="shared" si="0"/>
        <v>40.261111111111106</v>
      </c>
    </row>
    <row r="69" spans="1:9" ht="31.5" outlineLevel="2">
      <c r="A69" s="33" t="s">
        <v>230</v>
      </c>
      <c r="B69" s="13" t="s">
        <v>45</v>
      </c>
      <c r="C69" s="13" t="s">
        <v>34</v>
      </c>
      <c r="D69" s="13" t="s">
        <v>11</v>
      </c>
      <c r="E69" s="22">
        <v>0</v>
      </c>
      <c r="F69" s="17"/>
      <c r="G69" s="38">
        <f>SUM(G70)</f>
        <v>75</v>
      </c>
      <c r="H69" s="38">
        <f>SUM(H70)</f>
        <v>73.066</v>
      </c>
      <c r="I69" s="38">
        <f t="shared" si="0"/>
        <v>97.42133333333334</v>
      </c>
    </row>
    <row r="70" spans="1:9" ht="31.5" outlineLevel="2">
      <c r="A70" s="33" t="s">
        <v>116</v>
      </c>
      <c r="B70" s="13" t="s">
        <v>45</v>
      </c>
      <c r="C70" s="13" t="s">
        <v>34</v>
      </c>
      <c r="D70" s="13" t="s">
        <v>11</v>
      </c>
      <c r="E70" s="22">
        <v>0</v>
      </c>
      <c r="F70" s="17">
        <v>200</v>
      </c>
      <c r="G70" s="38">
        <f>50+25</f>
        <v>75</v>
      </c>
      <c r="H70" s="38">
        <v>73.066</v>
      </c>
      <c r="I70" s="38">
        <f t="shared" si="0"/>
        <v>97.42133333333334</v>
      </c>
    </row>
    <row r="71" spans="1:9" ht="68.25" customHeight="1" outlineLevel="2">
      <c r="A71" s="33" t="s">
        <v>222</v>
      </c>
      <c r="B71" s="13" t="s">
        <v>45</v>
      </c>
      <c r="C71" s="13" t="s">
        <v>34</v>
      </c>
      <c r="D71" s="13" t="s">
        <v>172</v>
      </c>
      <c r="E71" s="22">
        <v>0</v>
      </c>
      <c r="F71" s="17"/>
      <c r="G71" s="38">
        <f>SUM(G72)</f>
        <v>100</v>
      </c>
      <c r="H71" s="38">
        <f>SUM(H72)</f>
        <v>0</v>
      </c>
      <c r="I71" s="38">
        <f t="shared" si="0"/>
        <v>0</v>
      </c>
    </row>
    <row r="72" spans="1:9" ht="31.5" outlineLevel="2">
      <c r="A72" s="33" t="s">
        <v>116</v>
      </c>
      <c r="B72" s="13" t="s">
        <v>45</v>
      </c>
      <c r="C72" s="13" t="s">
        <v>34</v>
      </c>
      <c r="D72" s="13" t="s">
        <v>172</v>
      </c>
      <c r="E72" s="22">
        <v>0</v>
      </c>
      <c r="F72" s="17">
        <v>200</v>
      </c>
      <c r="G72" s="38">
        <v>100</v>
      </c>
      <c r="H72" s="38">
        <v>0</v>
      </c>
      <c r="I72" s="38">
        <f t="shared" si="0"/>
        <v>0</v>
      </c>
    </row>
    <row r="73" spans="1:9" ht="52.5" customHeight="1" outlineLevel="2">
      <c r="A73" s="33" t="s">
        <v>237</v>
      </c>
      <c r="B73" s="13" t="s">
        <v>45</v>
      </c>
      <c r="C73" s="13" t="s">
        <v>34</v>
      </c>
      <c r="D73" s="13" t="s">
        <v>214</v>
      </c>
      <c r="E73" s="22">
        <v>0</v>
      </c>
      <c r="F73" s="17"/>
      <c r="G73" s="38">
        <f>SUM(G74)</f>
        <v>50</v>
      </c>
      <c r="H73" s="38">
        <f>SUM(H74)</f>
        <v>0</v>
      </c>
      <c r="I73" s="38">
        <f t="shared" si="0"/>
        <v>0</v>
      </c>
    </row>
    <row r="74" spans="1:9" ht="31.5" outlineLevel="2">
      <c r="A74" s="33" t="s">
        <v>116</v>
      </c>
      <c r="B74" s="13" t="s">
        <v>45</v>
      </c>
      <c r="C74" s="13" t="s">
        <v>34</v>
      </c>
      <c r="D74" s="13" t="s">
        <v>214</v>
      </c>
      <c r="E74" s="22">
        <v>0</v>
      </c>
      <c r="F74" s="17">
        <v>200</v>
      </c>
      <c r="G74" s="38">
        <v>50</v>
      </c>
      <c r="H74" s="38">
        <v>0</v>
      </c>
      <c r="I74" s="38">
        <f t="shared" si="0"/>
        <v>0</v>
      </c>
    </row>
    <row r="75" spans="1:9" ht="117" customHeight="1" outlineLevel="2">
      <c r="A75" s="33" t="s">
        <v>239</v>
      </c>
      <c r="B75" s="13" t="s">
        <v>45</v>
      </c>
      <c r="C75" s="13" t="s">
        <v>34</v>
      </c>
      <c r="D75" s="13" t="s">
        <v>18</v>
      </c>
      <c r="E75" s="22">
        <v>0</v>
      </c>
      <c r="F75" s="17"/>
      <c r="G75" s="38">
        <f>SUM(G76)</f>
        <v>4028.8</v>
      </c>
      <c r="H75" s="38">
        <f>SUM(H76)</f>
        <v>3773.93093</v>
      </c>
      <c r="I75" s="38">
        <f aca="true" t="shared" si="3" ref="I75:I137">SUM(H75/G75)*100</f>
        <v>93.67382173351866</v>
      </c>
    </row>
    <row r="76" spans="1:9" ht="30.75" customHeight="1" outlineLevel="2">
      <c r="A76" s="33" t="s">
        <v>183</v>
      </c>
      <c r="B76" s="13" t="s">
        <v>45</v>
      </c>
      <c r="C76" s="13" t="s">
        <v>34</v>
      </c>
      <c r="D76" s="13" t="s">
        <v>18</v>
      </c>
      <c r="E76" s="22">
        <v>0</v>
      </c>
      <c r="F76" s="17">
        <v>600</v>
      </c>
      <c r="G76" s="38">
        <f>3800+168.8+60</f>
        <v>4028.8</v>
      </c>
      <c r="H76" s="38">
        <v>3773.93093</v>
      </c>
      <c r="I76" s="38">
        <f t="shared" si="3"/>
        <v>93.67382173351866</v>
      </c>
    </row>
    <row r="77" spans="1:9" ht="96.75" customHeight="1" outlineLevel="2">
      <c r="A77" s="33" t="s">
        <v>217</v>
      </c>
      <c r="B77" s="13" t="s">
        <v>45</v>
      </c>
      <c r="C77" s="13" t="s">
        <v>34</v>
      </c>
      <c r="D77" s="13" t="s">
        <v>14</v>
      </c>
      <c r="E77" s="22">
        <v>0</v>
      </c>
      <c r="F77" s="17"/>
      <c r="G77" s="38">
        <f>SUM(G78)</f>
        <v>23500</v>
      </c>
      <c r="H77" s="38">
        <f>SUM(H78)</f>
        <v>20703.00821</v>
      </c>
      <c r="I77" s="38">
        <f t="shared" si="3"/>
        <v>88.09790727659575</v>
      </c>
    </row>
    <row r="78" spans="1:9" ht="35.25" customHeight="1" outlineLevel="2">
      <c r="A78" s="33" t="s">
        <v>183</v>
      </c>
      <c r="B78" s="13" t="s">
        <v>45</v>
      </c>
      <c r="C78" s="13" t="s">
        <v>34</v>
      </c>
      <c r="D78" s="13" t="s">
        <v>14</v>
      </c>
      <c r="E78" s="22">
        <v>0</v>
      </c>
      <c r="F78" s="17">
        <v>600</v>
      </c>
      <c r="G78" s="38">
        <f>19000+1000+3500</f>
        <v>23500</v>
      </c>
      <c r="H78" s="38">
        <v>20703.00821</v>
      </c>
      <c r="I78" s="38">
        <f t="shared" si="3"/>
        <v>88.09790727659575</v>
      </c>
    </row>
    <row r="79" spans="1:9" ht="31.5" outlineLevel="2">
      <c r="A79" s="33" t="s">
        <v>55</v>
      </c>
      <c r="B79" s="13" t="s">
        <v>45</v>
      </c>
      <c r="C79" s="13" t="s">
        <v>34</v>
      </c>
      <c r="D79" s="13"/>
      <c r="E79" s="22"/>
      <c r="F79" s="17"/>
      <c r="G79" s="38">
        <f>SUM(G80)</f>
        <v>1061.4</v>
      </c>
      <c r="H79" s="38">
        <f>SUM(H80)</f>
        <v>732.6768400000001</v>
      </c>
      <c r="I79" s="38">
        <f t="shared" si="3"/>
        <v>69.02928584887884</v>
      </c>
    </row>
    <row r="80" spans="1:9" ht="48" customHeight="1" outlineLevel="2">
      <c r="A80" s="33" t="s">
        <v>117</v>
      </c>
      <c r="B80" s="13" t="s">
        <v>45</v>
      </c>
      <c r="C80" s="13" t="s">
        <v>34</v>
      </c>
      <c r="D80" s="13" t="s">
        <v>12</v>
      </c>
      <c r="E80" s="22">
        <v>0</v>
      </c>
      <c r="F80" s="17"/>
      <c r="G80" s="38">
        <f>SUM(G81:G82)</f>
        <v>1061.4</v>
      </c>
      <c r="H80" s="38">
        <f>SUM(H81:H82)</f>
        <v>732.6768400000001</v>
      </c>
      <c r="I80" s="38">
        <f t="shared" si="3"/>
        <v>69.02928584887884</v>
      </c>
    </row>
    <row r="81" spans="1:9" ht="75" customHeight="1" outlineLevel="2">
      <c r="A81" s="33" t="s">
        <v>115</v>
      </c>
      <c r="B81" s="13" t="s">
        <v>45</v>
      </c>
      <c r="C81" s="13" t="s">
        <v>34</v>
      </c>
      <c r="D81" s="13" t="s">
        <v>12</v>
      </c>
      <c r="E81" s="22" t="s">
        <v>10</v>
      </c>
      <c r="F81" s="17">
        <v>100</v>
      </c>
      <c r="G81" s="38">
        <v>841.7</v>
      </c>
      <c r="H81" s="38">
        <v>598.18416</v>
      </c>
      <c r="I81" s="38">
        <f t="shared" si="3"/>
        <v>71.06857074967327</v>
      </c>
    </row>
    <row r="82" spans="1:9" ht="31.5" outlineLevel="2">
      <c r="A82" s="33" t="s">
        <v>116</v>
      </c>
      <c r="B82" s="13" t="s">
        <v>45</v>
      </c>
      <c r="C82" s="13" t="s">
        <v>34</v>
      </c>
      <c r="D82" s="13" t="s">
        <v>12</v>
      </c>
      <c r="E82" s="22" t="s">
        <v>10</v>
      </c>
      <c r="F82" s="17">
        <v>200</v>
      </c>
      <c r="G82" s="38">
        <v>219.7</v>
      </c>
      <c r="H82" s="38">
        <v>134.49268</v>
      </c>
      <c r="I82" s="38">
        <f t="shared" si="3"/>
        <v>61.21651342740101</v>
      </c>
    </row>
    <row r="83" spans="1:9" ht="33" customHeight="1" outlineLevel="2">
      <c r="A83" s="33" t="s">
        <v>53</v>
      </c>
      <c r="B83" s="13" t="s">
        <v>45</v>
      </c>
      <c r="C83" s="13" t="s">
        <v>34</v>
      </c>
      <c r="D83" s="13" t="s">
        <v>16</v>
      </c>
      <c r="E83" s="22">
        <v>0</v>
      </c>
      <c r="F83" s="17"/>
      <c r="G83" s="38">
        <f>SUM(G84)</f>
        <v>100</v>
      </c>
      <c r="H83" s="38">
        <f>SUM(H84)</f>
        <v>34.5</v>
      </c>
      <c r="I83" s="38">
        <f t="shared" si="3"/>
        <v>34.5</v>
      </c>
    </row>
    <row r="84" spans="1:9" ht="35.25" customHeight="1" outlineLevel="2">
      <c r="A84" s="33" t="s">
        <v>182</v>
      </c>
      <c r="B84" s="13" t="s">
        <v>45</v>
      </c>
      <c r="C84" s="13" t="s">
        <v>34</v>
      </c>
      <c r="D84" s="13" t="s">
        <v>16</v>
      </c>
      <c r="E84" s="22" t="s">
        <v>10</v>
      </c>
      <c r="F84" s="17"/>
      <c r="G84" s="38">
        <f>SUM(G85)</f>
        <v>100</v>
      </c>
      <c r="H84" s="38">
        <f>SUM(H85)</f>
        <v>34.5</v>
      </c>
      <c r="I84" s="38">
        <f t="shared" si="3"/>
        <v>34.5</v>
      </c>
    </row>
    <row r="85" spans="1:9" ht="31.5" outlineLevel="5">
      <c r="A85" s="33" t="s">
        <v>116</v>
      </c>
      <c r="B85" s="13" t="s">
        <v>45</v>
      </c>
      <c r="C85" s="13" t="s">
        <v>34</v>
      </c>
      <c r="D85" s="13" t="s">
        <v>16</v>
      </c>
      <c r="E85" s="22" t="s">
        <v>10</v>
      </c>
      <c r="F85" s="17">
        <v>200</v>
      </c>
      <c r="G85" s="38">
        <v>100</v>
      </c>
      <c r="H85" s="38">
        <v>34.5</v>
      </c>
      <c r="I85" s="38">
        <f t="shared" si="3"/>
        <v>34.5</v>
      </c>
    </row>
    <row r="86" spans="1:9" ht="31.5" outlineLevel="5">
      <c r="A86" s="33" t="s">
        <v>54</v>
      </c>
      <c r="B86" s="13" t="s">
        <v>45</v>
      </c>
      <c r="C86" s="13" t="s">
        <v>34</v>
      </c>
      <c r="D86" s="13" t="s">
        <v>16</v>
      </c>
      <c r="E86" s="22">
        <v>0</v>
      </c>
      <c r="F86" s="17"/>
      <c r="G86" s="38">
        <f>SUM(G87)</f>
        <v>2290.01</v>
      </c>
      <c r="H86" s="38">
        <f>SUM(H87)</f>
        <v>1546.04219</v>
      </c>
      <c r="I86" s="38">
        <f t="shared" si="3"/>
        <v>67.51246457439049</v>
      </c>
    </row>
    <row r="87" spans="1:9" ht="34.5" customHeight="1" outlineLevel="5">
      <c r="A87" s="33" t="s">
        <v>182</v>
      </c>
      <c r="B87" s="13" t="s">
        <v>45</v>
      </c>
      <c r="C87" s="13" t="s">
        <v>34</v>
      </c>
      <c r="D87" s="13" t="s">
        <v>16</v>
      </c>
      <c r="E87" s="22" t="s">
        <v>10</v>
      </c>
      <c r="F87" s="17"/>
      <c r="G87" s="38">
        <f>SUM(G88:G90)</f>
        <v>2290.01</v>
      </c>
      <c r="H87" s="38">
        <f>SUM(H88:H90)</f>
        <v>1546.04219</v>
      </c>
      <c r="I87" s="38">
        <f t="shared" si="3"/>
        <v>67.51246457439049</v>
      </c>
    </row>
    <row r="88" spans="1:9" ht="31.5" outlineLevel="5">
      <c r="A88" s="33" t="s">
        <v>116</v>
      </c>
      <c r="B88" s="13" t="s">
        <v>45</v>
      </c>
      <c r="C88" s="13" t="s">
        <v>34</v>
      </c>
      <c r="D88" s="13" t="s">
        <v>16</v>
      </c>
      <c r="E88" s="22">
        <v>0</v>
      </c>
      <c r="F88" s="17">
        <v>200</v>
      </c>
      <c r="G88" s="38">
        <f>975+1000-500+300-500+0.01+100-530-90-200</f>
        <v>555.01</v>
      </c>
      <c r="H88" s="38">
        <v>373.71254</v>
      </c>
      <c r="I88" s="38">
        <f t="shared" si="3"/>
        <v>67.33437956072864</v>
      </c>
    </row>
    <row r="89" spans="1:9" ht="18.75" customHeight="1" outlineLevel="5">
      <c r="A89" s="33" t="s">
        <v>184</v>
      </c>
      <c r="B89" s="13" t="s">
        <v>45</v>
      </c>
      <c r="C89" s="13" t="s">
        <v>34</v>
      </c>
      <c r="D89" s="13" t="s">
        <v>16</v>
      </c>
      <c r="E89" s="22">
        <v>0</v>
      </c>
      <c r="F89" s="17">
        <v>300</v>
      </c>
      <c r="G89" s="38">
        <f>530+90+55-145</f>
        <v>530</v>
      </c>
      <c r="H89" s="38">
        <v>60</v>
      </c>
      <c r="I89" s="38">
        <f t="shared" si="3"/>
        <v>11.320754716981133</v>
      </c>
    </row>
    <row r="90" spans="1:9" ht="15.75" outlineLevel="5">
      <c r="A90" s="33" t="s">
        <v>167</v>
      </c>
      <c r="B90" s="13" t="s">
        <v>45</v>
      </c>
      <c r="C90" s="13" t="s">
        <v>34</v>
      </c>
      <c r="D90" s="13" t="s">
        <v>16</v>
      </c>
      <c r="E90" s="22">
        <v>0</v>
      </c>
      <c r="F90" s="17">
        <v>800</v>
      </c>
      <c r="G90" s="38">
        <f>155+1050</f>
        <v>1205</v>
      </c>
      <c r="H90" s="38">
        <v>1112.32965</v>
      </c>
      <c r="I90" s="38">
        <f t="shared" si="3"/>
        <v>92.30951452282157</v>
      </c>
    </row>
    <row r="91" spans="1:9" ht="15.75" outlineLevel="5">
      <c r="A91" s="33" t="s">
        <v>56</v>
      </c>
      <c r="B91" s="13" t="s">
        <v>45</v>
      </c>
      <c r="C91" s="13" t="s">
        <v>34</v>
      </c>
      <c r="D91" s="13" t="s">
        <v>16</v>
      </c>
      <c r="E91" s="22">
        <v>0</v>
      </c>
      <c r="F91" s="17"/>
      <c r="G91" s="38">
        <f>6379.3-418-39.6-80-25-100+50-20-25+100+6.5-5828.2</f>
        <v>0</v>
      </c>
      <c r="H91" s="38">
        <f>11750.9-418-39.6-80-25-100+50-20-25+100+6.5-11199.8</f>
        <v>0</v>
      </c>
      <c r="I91" s="38">
        <v>0</v>
      </c>
    </row>
    <row r="92" spans="1:9" ht="15.75" outlineLevel="1">
      <c r="A92" s="33" t="s">
        <v>57</v>
      </c>
      <c r="B92" s="13" t="s">
        <v>45</v>
      </c>
      <c r="C92" s="13" t="s">
        <v>131</v>
      </c>
      <c r="D92" s="13"/>
      <c r="E92" s="22"/>
      <c r="F92" s="17"/>
      <c r="G92" s="38">
        <f aca="true" t="shared" si="4" ref="G92:H95">SUM(G93)</f>
        <v>20</v>
      </c>
      <c r="H92" s="38">
        <f t="shared" si="4"/>
        <v>0</v>
      </c>
      <c r="I92" s="38">
        <f t="shared" si="3"/>
        <v>0</v>
      </c>
    </row>
    <row r="93" spans="1:9" ht="15.75" outlineLevel="2">
      <c r="A93" s="33" t="s">
        <v>58</v>
      </c>
      <c r="B93" s="13" t="s">
        <v>45</v>
      </c>
      <c r="C93" s="13" t="s">
        <v>59</v>
      </c>
      <c r="D93" s="13"/>
      <c r="E93" s="22"/>
      <c r="F93" s="17"/>
      <c r="G93" s="38">
        <f t="shared" si="4"/>
        <v>20</v>
      </c>
      <c r="H93" s="38">
        <f t="shared" si="4"/>
        <v>0</v>
      </c>
      <c r="I93" s="38">
        <f t="shared" si="3"/>
        <v>0</v>
      </c>
    </row>
    <row r="94" spans="1:9" ht="31.5" outlineLevel="5">
      <c r="A94" s="33" t="s">
        <v>17</v>
      </c>
      <c r="B94" s="13" t="s">
        <v>45</v>
      </c>
      <c r="C94" s="13" t="s">
        <v>59</v>
      </c>
      <c r="D94" s="13"/>
      <c r="E94" s="22"/>
      <c r="F94" s="17"/>
      <c r="G94" s="38">
        <f t="shared" si="4"/>
        <v>20</v>
      </c>
      <c r="H94" s="38">
        <f t="shared" si="4"/>
        <v>0</v>
      </c>
      <c r="I94" s="38">
        <f t="shared" si="3"/>
        <v>0</v>
      </c>
    </row>
    <row r="95" spans="1:9" ht="36.75" customHeight="1" outlineLevel="5">
      <c r="A95" s="33" t="s">
        <v>182</v>
      </c>
      <c r="B95" s="13" t="s">
        <v>45</v>
      </c>
      <c r="C95" s="13" t="s">
        <v>59</v>
      </c>
      <c r="D95" s="13" t="s">
        <v>16</v>
      </c>
      <c r="E95" s="22">
        <v>0</v>
      </c>
      <c r="F95" s="17"/>
      <c r="G95" s="38">
        <f t="shared" si="4"/>
        <v>20</v>
      </c>
      <c r="H95" s="38">
        <f t="shared" si="4"/>
        <v>0</v>
      </c>
      <c r="I95" s="38">
        <f t="shared" si="3"/>
        <v>0</v>
      </c>
    </row>
    <row r="96" spans="1:9" ht="31.5" outlineLevel="5">
      <c r="A96" s="33" t="s">
        <v>116</v>
      </c>
      <c r="B96" s="13" t="s">
        <v>45</v>
      </c>
      <c r="C96" s="13" t="s">
        <v>59</v>
      </c>
      <c r="D96" s="13" t="s">
        <v>16</v>
      </c>
      <c r="E96" s="22">
        <v>0</v>
      </c>
      <c r="F96" s="17">
        <v>200</v>
      </c>
      <c r="G96" s="38">
        <v>20</v>
      </c>
      <c r="H96" s="38">
        <v>0</v>
      </c>
      <c r="I96" s="38">
        <f t="shared" si="3"/>
        <v>0</v>
      </c>
    </row>
    <row r="97" spans="1:9" ht="31.5" outlineLevel="5">
      <c r="A97" s="33" t="s">
        <v>136</v>
      </c>
      <c r="B97" s="13" t="s">
        <v>45</v>
      </c>
      <c r="C97" s="13" t="s">
        <v>132</v>
      </c>
      <c r="D97" s="13"/>
      <c r="E97" s="22"/>
      <c r="F97" s="17"/>
      <c r="G97" s="38">
        <f>SUM(G98+G101)</f>
        <v>270</v>
      </c>
      <c r="H97" s="38">
        <f>SUM(H98+H101)</f>
        <v>177.666</v>
      </c>
      <c r="I97" s="38">
        <f t="shared" si="3"/>
        <v>65.80222222222221</v>
      </c>
    </row>
    <row r="98" spans="1:9" ht="47.25" customHeight="1" outlineLevel="1">
      <c r="A98" s="33" t="s">
        <v>137</v>
      </c>
      <c r="B98" s="13" t="s">
        <v>45</v>
      </c>
      <c r="C98" s="13" t="s">
        <v>60</v>
      </c>
      <c r="D98" s="13"/>
      <c r="E98" s="22"/>
      <c r="F98" s="17"/>
      <c r="G98" s="38">
        <f>SUM(G99)</f>
        <v>250</v>
      </c>
      <c r="H98" s="38">
        <f>SUM(H99)</f>
        <v>177.666</v>
      </c>
      <c r="I98" s="38">
        <f t="shared" si="3"/>
        <v>71.0664</v>
      </c>
    </row>
    <row r="99" spans="1:9" ht="39" customHeight="1" outlineLevel="2">
      <c r="A99" s="33" t="s">
        <v>182</v>
      </c>
      <c r="B99" s="13" t="s">
        <v>45</v>
      </c>
      <c r="C99" s="13" t="s">
        <v>60</v>
      </c>
      <c r="D99" s="13" t="s">
        <v>16</v>
      </c>
      <c r="E99" s="22">
        <v>0</v>
      </c>
      <c r="F99" s="17"/>
      <c r="G99" s="38">
        <f>SUM(G100)</f>
        <v>250</v>
      </c>
      <c r="H99" s="38">
        <f>SUM(H100)</f>
        <v>177.666</v>
      </c>
      <c r="I99" s="38">
        <f t="shared" si="3"/>
        <v>71.0664</v>
      </c>
    </row>
    <row r="100" spans="1:9" ht="31.5" outlineLevel="3">
      <c r="A100" s="33" t="s">
        <v>116</v>
      </c>
      <c r="B100" s="13" t="s">
        <v>45</v>
      </c>
      <c r="C100" s="13" t="s">
        <v>60</v>
      </c>
      <c r="D100" s="13" t="s">
        <v>16</v>
      </c>
      <c r="E100" s="22">
        <v>0</v>
      </c>
      <c r="F100" s="17">
        <v>200</v>
      </c>
      <c r="G100" s="38">
        <f>50+200</f>
        <v>250</v>
      </c>
      <c r="H100" s="38">
        <v>177.666</v>
      </c>
      <c r="I100" s="38">
        <f t="shared" si="3"/>
        <v>71.0664</v>
      </c>
    </row>
    <row r="101" spans="1:9" ht="34.5" customHeight="1" outlineLevel="3">
      <c r="A101" s="33" t="s">
        <v>138</v>
      </c>
      <c r="B101" s="13" t="s">
        <v>45</v>
      </c>
      <c r="C101" s="13" t="s">
        <v>60</v>
      </c>
      <c r="D101" s="13"/>
      <c r="E101" s="22"/>
      <c r="F101" s="17"/>
      <c r="G101" s="45">
        <f>SUM(G102)</f>
        <v>20</v>
      </c>
      <c r="H101" s="45">
        <f>SUM(H102)</f>
        <v>0</v>
      </c>
      <c r="I101" s="38">
        <f t="shared" si="3"/>
        <v>0</v>
      </c>
    </row>
    <row r="102" spans="1:9" ht="37.5" customHeight="1" outlineLevel="1">
      <c r="A102" s="33" t="s">
        <v>182</v>
      </c>
      <c r="B102" s="13" t="s">
        <v>45</v>
      </c>
      <c r="C102" s="13" t="s">
        <v>60</v>
      </c>
      <c r="D102" s="13" t="s">
        <v>16</v>
      </c>
      <c r="E102" s="22">
        <v>0</v>
      </c>
      <c r="F102" s="17"/>
      <c r="G102" s="38">
        <f>SUM(G103)</f>
        <v>20</v>
      </c>
      <c r="H102" s="38">
        <f>SUM(H103)</f>
        <v>0</v>
      </c>
      <c r="I102" s="38">
        <f t="shared" si="3"/>
        <v>0</v>
      </c>
    </row>
    <row r="103" spans="1:9" ht="31.5" outlineLevel="2">
      <c r="A103" s="33" t="s">
        <v>116</v>
      </c>
      <c r="B103" s="13" t="s">
        <v>45</v>
      </c>
      <c r="C103" s="13" t="s">
        <v>60</v>
      </c>
      <c r="D103" s="13" t="s">
        <v>16</v>
      </c>
      <c r="E103" s="22">
        <v>0</v>
      </c>
      <c r="F103" s="17">
        <v>200</v>
      </c>
      <c r="G103" s="38">
        <v>20</v>
      </c>
      <c r="H103" s="38">
        <v>0</v>
      </c>
      <c r="I103" s="38">
        <f t="shared" si="3"/>
        <v>0</v>
      </c>
    </row>
    <row r="104" spans="1:9" ht="15.75" outlineLevel="3">
      <c r="A104" s="33" t="s">
        <v>139</v>
      </c>
      <c r="B104" s="13" t="s">
        <v>45</v>
      </c>
      <c r="C104" s="13" t="s">
        <v>71</v>
      </c>
      <c r="D104" s="13"/>
      <c r="E104" s="22"/>
      <c r="F104" s="17"/>
      <c r="G104" s="45">
        <f>SUM(G105+G109+G113)</f>
        <v>20163.062719999998</v>
      </c>
      <c r="H104" s="45">
        <f>SUM(H105+H109+H113)</f>
        <v>10082.62873</v>
      </c>
      <c r="I104" s="38">
        <f t="shared" si="3"/>
        <v>50.00544247674691</v>
      </c>
    </row>
    <row r="105" spans="1:9" ht="15.75" outlineLevel="3">
      <c r="A105" s="33" t="s">
        <v>168</v>
      </c>
      <c r="B105" s="13" t="s">
        <v>45</v>
      </c>
      <c r="C105" s="13" t="s">
        <v>169</v>
      </c>
      <c r="D105" s="13"/>
      <c r="E105" s="22"/>
      <c r="F105" s="17"/>
      <c r="G105" s="45">
        <f aca="true" t="shared" si="5" ref="G105:H107">SUM(G106)</f>
        <v>21.3</v>
      </c>
      <c r="H105" s="45">
        <f t="shared" si="5"/>
        <v>0</v>
      </c>
      <c r="I105" s="38">
        <f t="shared" si="3"/>
        <v>0</v>
      </c>
    </row>
    <row r="106" spans="1:9" ht="67.5" customHeight="1" outlineLevel="3">
      <c r="A106" s="33" t="s">
        <v>245</v>
      </c>
      <c r="B106" s="13" t="s">
        <v>45</v>
      </c>
      <c r="C106" s="13" t="s">
        <v>169</v>
      </c>
      <c r="D106" s="13"/>
      <c r="E106" s="22"/>
      <c r="F106" s="17"/>
      <c r="G106" s="45">
        <f t="shared" si="5"/>
        <v>21.3</v>
      </c>
      <c r="H106" s="45">
        <f t="shared" si="5"/>
        <v>0</v>
      </c>
      <c r="I106" s="38">
        <f t="shared" si="3"/>
        <v>0</v>
      </c>
    </row>
    <row r="107" spans="1:9" ht="32.25" customHeight="1" outlineLevel="3">
      <c r="A107" s="33" t="s">
        <v>182</v>
      </c>
      <c r="B107" s="13" t="s">
        <v>45</v>
      </c>
      <c r="C107" s="13" t="s">
        <v>169</v>
      </c>
      <c r="D107" s="13" t="s">
        <v>16</v>
      </c>
      <c r="E107" s="22">
        <v>0</v>
      </c>
      <c r="F107" s="17"/>
      <c r="G107" s="45">
        <f t="shared" si="5"/>
        <v>21.3</v>
      </c>
      <c r="H107" s="45">
        <f t="shared" si="5"/>
        <v>0</v>
      </c>
      <c r="I107" s="38">
        <f t="shared" si="3"/>
        <v>0</v>
      </c>
    </row>
    <row r="108" spans="1:9" ht="33.75" customHeight="1" outlineLevel="3">
      <c r="A108" s="33" t="s">
        <v>116</v>
      </c>
      <c r="B108" s="13" t="s">
        <v>45</v>
      </c>
      <c r="C108" s="13" t="s">
        <v>169</v>
      </c>
      <c r="D108" s="13" t="s">
        <v>16</v>
      </c>
      <c r="E108" s="22">
        <v>0</v>
      </c>
      <c r="F108" s="17">
        <v>200</v>
      </c>
      <c r="G108" s="38">
        <f>25-3.7</f>
        <v>21.3</v>
      </c>
      <c r="H108" s="38">
        <v>0</v>
      </c>
      <c r="I108" s="38">
        <f t="shared" si="3"/>
        <v>0</v>
      </c>
    </row>
    <row r="109" spans="1:9" ht="15.75">
      <c r="A109" s="33" t="s">
        <v>140</v>
      </c>
      <c r="B109" s="13" t="s">
        <v>45</v>
      </c>
      <c r="C109" s="13" t="s">
        <v>61</v>
      </c>
      <c r="D109" s="13"/>
      <c r="E109" s="22"/>
      <c r="F109" s="17"/>
      <c r="G109" s="45">
        <f>SUM(G110)</f>
        <v>16886.76272</v>
      </c>
      <c r="H109" s="45">
        <f>SUM(H110)</f>
        <v>9844.634</v>
      </c>
      <c r="I109" s="38">
        <f t="shared" si="3"/>
        <v>58.29793527175231</v>
      </c>
    </row>
    <row r="110" spans="1:9" ht="66" customHeight="1" outlineLevel="1">
      <c r="A110" s="33" t="s">
        <v>248</v>
      </c>
      <c r="B110" s="13" t="s">
        <v>45</v>
      </c>
      <c r="C110" s="13" t="s">
        <v>61</v>
      </c>
      <c r="D110" s="13" t="s">
        <v>171</v>
      </c>
      <c r="E110" s="22">
        <v>0</v>
      </c>
      <c r="F110" s="23"/>
      <c r="G110" s="38">
        <f>SUM(G111:G112)</f>
        <v>16886.76272</v>
      </c>
      <c r="H110" s="38">
        <f>SUM(H111:H112)</f>
        <v>9844.634</v>
      </c>
      <c r="I110" s="38">
        <f t="shared" si="3"/>
        <v>58.29793527175231</v>
      </c>
    </row>
    <row r="111" spans="1:9" ht="31.5" outlineLevel="2">
      <c r="A111" s="33" t="s">
        <v>116</v>
      </c>
      <c r="B111" s="13" t="s">
        <v>45</v>
      </c>
      <c r="C111" s="13" t="s">
        <v>61</v>
      </c>
      <c r="D111" s="13" t="s">
        <v>171</v>
      </c>
      <c r="E111" s="22">
        <v>0</v>
      </c>
      <c r="F111" s="23">
        <v>200</v>
      </c>
      <c r="G111" s="38">
        <f>3397.7+1564.9+11924.16272-10000</f>
        <v>6886.762719999999</v>
      </c>
      <c r="H111" s="38">
        <v>0</v>
      </c>
      <c r="I111" s="38">
        <f t="shared" si="3"/>
        <v>0</v>
      </c>
    </row>
    <row r="112" spans="1:9" ht="15.75" outlineLevel="2">
      <c r="A112" s="33" t="s">
        <v>185</v>
      </c>
      <c r="B112" s="13" t="s">
        <v>45</v>
      </c>
      <c r="C112" s="13" t="s">
        <v>61</v>
      </c>
      <c r="D112" s="13" t="s">
        <v>171</v>
      </c>
      <c r="E112" s="22">
        <v>0</v>
      </c>
      <c r="F112" s="23">
        <v>500</v>
      </c>
      <c r="G112" s="38">
        <f>10000</f>
        <v>10000</v>
      </c>
      <c r="H112" s="38">
        <v>9844.634</v>
      </c>
      <c r="I112" s="38">
        <f t="shared" si="3"/>
        <v>98.44633999999999</v>
      </c>
    </row>
    <row r="113" spans="1:9" ht="17.25" customHeight="1" outlineLevel="3">
      <c r="A113" s="33" t="s">
        <v>141</v>
      </c>
      <c r="B113" s="13" t="s">
        <v>45</v>
      </c>
      <c r="C113" s="13" t="s">
        <v>63</v>
      </c>
      <c r="D113" s="13"/>
      <c r="E113" s="22"/>
      <c r="F113" s="17"/>
      <c r="G113" s="38">
        <f>SUM(G114+G118+G121)</f>
        <v>3255</v>
      </c>
      <c r="H113" s="38">
        <f>SUM(H114+H118+H121)</f>
        <v>237.99473</v>
      </c>
      <c r="I113" s="38">
        <f t="shared" si="3"/>
        <v>7.311666052227343</v>
      </c>
    </row>
    <row r="114" spans="1:9" ht="46.5" customHeight="1" outlineLevel="3">
      <c r="A114" s="33" t="s">
        <v>179</v>
      </c>
      <c r="B114" s="13" t="s">
        <v>45</v>
      </c>
      <c r="C114" s="13" t="s">
        <v>63</v>
      </c>
      <c r="D114" s="13" t="s">
        <v>13</v>
      </c>
      <c r="E114" s="22">
        <v>0</v>
      </c>
      <c r="F114" s="17"/>
      <c r="G114" s="38">
        <f>SUM(G115:G117)</f>
        <v>300</v>
      </c>
      <c r="H114" s="38">
        <f>SUM(H115:H117)</f>
        <v>0</v>
      </c>
      <c r="I114" s="38">
        <f t="shared" si="3"/>
        <v>0</v>
      </c>
    </row>
    <row r="115" spans="1:9" ht="31.5" outlineLevel="3">
      <c r="A115" s="33" t="s">
        <v>116</v>
      </c>
      <c r="B115" s="13" t="s">
        <v>45</v>
      </c>
      <c r="C115" s="13" t="s">
        <v>63</v>
      </c>
      <c r="D115" s="13" t="s">
        <v>13</v>
      </c>
      <c r="E115" s="22">
        <v>0</v>
      </c>
      <c r="F115" s="17">
        <v>200</v>
      </c>
      <c r="G115" s="38">
        <v>50</v>
      </c>
      <c r="H115" s="38">
        <v>0</v>
      </c>
      <c r="I115" s="38">
        <f t="shared" si="3"/>
        <v>0</v>
      </c>
    </row>
    <row r="116" spans="1:9" ht="19.5" customHeight="1" outlineLevel="3">
      <c r="A116" s="33" t="s">
        <v>184</v>
      </c>
      <c r="B116" s="13" t="s">
        <v>45</v>
      </c>
      <c r="C116" s="13" t="s">
        <v>63</v>
      </c>
      <c r="D116" s="13" t="s">
        <v>13</v>
      </c>
      <c r="E116" s="22">
        <v>0</v>
      </c>
      <c r="F116" s="17">
        <v>300</v>
      </c>
      <c r="G116" s="38">
        <v>50</v>
      </c>
      <c r="H116" s="38">
        <v>0</v>
      </c>
      <c r="I116" s="38">
        <f t="shared" si="3"/>
        <v>0</v>
      </c>
    </row>
    <row r="117" spans="1:9" ht="15.75" outlineLevel="3">
      <c r="A117" s="33" t="s">
        <v>167</v>
      </c>
      <c r="B117" s="13" t="s">
        <v>45</v>
      </c>
      <c r="C117" s="13" t="s">
        <v>63</v>
      </c>
      <c r="D117" s="13" t="s">
        <v>13</v>
      </c>
      <c r="E117" s="22">
        <v>0</v>
      </c>
      <c r="F117" s="17">
        <v>800</v>
      </c>
      <c r="G117" s="38">
        <v>200</v>
      </c>
      <c r="H117" s="38">
        <v>0</v>
      </c>
      <c r="I117" s="38">
        <f t="shared" si="3"/>
        <v>0</v>
      </c>
    </row>
    <row r="118" spans="1:9" ht="22.5" customHeight="1" outlineLevel="1">
      <c r="A118" s="33" t="s">
        <v>142</v>
      </c>
      <c r="B118" s="13" t="s">
        <v>45</v>
      </c>
      <c r="C118" s="13" t="s">
        <v>63</v>
      </c>
      <c r="D118" s="13"/>
      <c r="E118" s="22"/>
      <c r="F118" s="17"/>
      <c r="G118" s="38">
        <f>SUM(G119)</f>
        <v>325</v>
      </c>
      <c r="H118" s="38">
        <f>SUM(H119)</f>
        <v>100.5</v>
      </c>
      <c r="I118" s="38">
        <f t="shared" si="3"/>
        <v>30.923076923076927</v>
      </c>
    </row>
    <row r="119" spans="1:9" ht="35.25" customHeight="1" outlineLevel="2">
      <c r="A119" s="33" t="s">
        <v>182</v>
      </c>
      <c r="B119" s="13" t="s">
        <v>45</v>
      </c>
      <c r="C119" s="13" t="s">
        <v>63</v>
      </c>
      <c r="D119" s="13" t="s">
        <v>16</v>
      </c>
      <c r="E119" s="22">
        <v>0</v>
      </c>
      <c r="F119" s="17"/>
      <c r="G119" s="38">
        <f>SUM(G120)</f>
        <v>325</v>
      </c>
      <c r="H119" s="38">
        <f>SUM(H120)</f>
        <v>100.5</v>
      </c>
      <c r="I119" s="38">
        <f t="shared" si="3"/>
        <v>30.923076923076927</v>
      </c>
    </row>
    <row r="120" spans="1:9" ht="31.5" outlineLevel="3">
      <c r="A120" s="33" t="s">
        <v>116</v>
      </c>
      <c r="B120" s="13" t="s">
        <v>45</v>
      </c>
      <c r="C120" s="13" t="s">
        <v>63</v>
      </c>
      <c r="D120" s="13" t="s">
        <v>16</v>
      </c>
      <c r="E120" s="22">
        <v>0</v>
      </c>
      <c r="F120" s="17">
        <v>200</v>
      </c>
      <c r="G120" s="38">
        <f>100+225</f>
        <v>325</v>
      </c>
      <c r="H120" s="38">
        <v>100.5</v>
      </c>
      <c r="I120" s="38">
        <f t="shared" si="3"/>
        <v>30.923076923076927</v>
      </c>
    </row>
    <row r="121" spans="1:9" ht="31.5" outlineLevel="3">
      <c r="A121" s="33" t="s">
        <v>62</v>
      </c>
      <c r="B121" s="13" t="s">
        <v>45</v>
      </c>
      <c r="C121" s="13" t="s">
        <v>63</v>
      </c>
      <c r="D121" s="13"/>
      <c r="E121" s="22"/>
      <c r="F121" s="17"/>
      <c r="G121" s="38">
        <f>SUM(G122)</f>
        <v>2630</v>
      </c>
      <c r="H121" s="38">
        <f>SUM(H122)</f>
        <v>137.49473</v>
      </c>
      <c r="I121" s="38">
        <f t="shared" si="3"/>
        <v>5.227936501901141</v>
      </c>
    </row>
    <row r="122" spans="1:9" ht="33.75" customHeight="1" outlineLevel="3">
      <c r="A122" s="33" t="s">
        <v>182</v>
      </c>
      <c r="B122" s="13" t="s">
        <v>45</v>
      </c>
      <c r="C122" s="13" t="s">
        <v>63</v>
      </c>
      <c r="D122" s="13" t="s">
        <v>16</v>
      </c>
      <c r="E122" s="22">
        <v>0</v>
      </c>
      <c r="F122" s="17"/>
      <c r="G122" s="38">
        <f>SUM(G123)</f>
        <v>2630</v>
      </c>
      <c r="H122" s="38">
        <f>SUM(H123)</f>
        <v>137.49473</v>
      </c>
      <c r="I122" s="38">
        <f t="shared" si="3"/>
        <v>5.227936501901141</v>
      </c>
    </row>
    <row r="123" spans="1:9" ht="31.5" outlineLevel="3">
      <c r="A123" s="33" t="s">
        <v>116</v>
      </c>
      <c r="B123" s="13" t="s">
        <v>45</v>
      </c>
      <c r="C123" s="13" t="s">
        <v>63</v>
      </c>
      <c r="D123" s="13" t="s">
        <v>16</v>
      </c>
      <c r="E123" s="22">
        <v>0</v>
      </c>
      <c r="F123" s="17">
        <v>200</v>
      </c>
      <c r="G123" s="38">
        <f>2630</f>
        <v>2630</v>
      </c>
      <c r="H123" s="38">
        <v>137.49473</v>
      </c>
      <c r="I123" s="38">
        <f t="shared" si="3"/>
        <v>5.227936501901141</v>
      </c>
    </row>
    <row r="124" spans="1:9" ht="15.75" outlineLevel="3">
      <c r="A124" s="33" t="s">
        <v>66</v>
      </c>
      <c r="B124" s="13" t="s">
        <v>45</v>
      </c>
      <c r="C124" s="13" t="s">
        <v>67</v>
      </c>
      <c r="D124" s="13"/>
      <c r="E124" s="22"/>
      <c r="F124" s="17"/>
      <c r="G124" s="38">
        <f>SUM(G125+G129)</f>
        <v>18937.1</v>
      </c>
      <c r="H124" s="38">
        <f>SUM(H125+H129)</f>
        <v>5196.02107</v>
      </c>
      <c r="I124" s="38">
        <f t="shared" si="3"/>
        <v>27.438314578261718</v>
      </c>
    </row>
    <row r="125" spans="1:9" ht="15.75" outlineLevel="3">
      <c r="A125" s="33" t="s">
        <v>186</v>
      </c>
      <c r="B125" s="13" t="s">
        <v>45</v>
      </c>
      <c r="C125" s="13" t="s">
        <v>187</v>
      </c>
      <c r="D125" s="13"/>
      <c r="E125" s="22"/>
      <c r="F125" s="17"/>
      <c r="G125" s="38">
        <f aca="true" t="shared" si="6" ref="G125:H127">SUM(G126)</f>
        <v>0</v>
      </c>
      <c r="H125" s="38">
        <f t="shared" si="6"/>
        <v>0</v>
      </c>
      <c r="I125" s="38">
        <v>0</v>
      </c>
    </row>
    <row r="126" spans="1:9" ht="49.5" customHeight="1" outlineLevel="3">
      <c r="A126" s="33" t="s">
        <v>224</v>
      </c>
      <c r="B126" s="13" t="s">
        <v>45</v>
      </c>
      <c r="C126" s="13" t="s">
        <v>187</v>
      </c>
      <c r="D126" s="13" t="s">
        <v>6</v>
      </c>
      <c r="E126" s="22">
        <v>0</v>
      </c>
      <c r="F126" s="17"/>
      <c r="G126" s="38">
        <f t="shared" si="6"/>
        <v>0</v>
      </c>
      <c r="H126" s="38">
        <f t="shared" si="6"/>
        <v>0</v>
      </c>
      <c r="I126" s="38">
        <v>0</v>
      </c>
    </row>
    <row r="127" spans="1:9" ht="64.5" customHeight="1" outlineLevel="3">
      <c r="A127" s="33" t="s">
        <v>215</v>
      </c>
      <c r="B127" s="13" t="s">
        <v>45</v>
      </c>
      <c r="C127" s="13" t="s">
        <v>187</v>
      </c>
      <c r="D127" s="13" t="s">
        <v>6</v>
      </c>
      <c r="E127" s="22">
        <v>1</v>
      </c>
      <c r="F127" s="17"/>
      <c r="G127" s="38">
        <f t="shared" si="6"/>
        <v>0</v>
      </c>
      <c r="H127" s="38">
        <f t="shared" si="6"/>
        <v>0</v>
      </c>
      <c r="I127" s="38">
        <v>0</v>
      </c>
    </row>
    <row r="128" spans="1:9" ht="15.75" outlineLevel="3">
      <c r="A128" s="33" t="s">
        <v>185</v>
      </c>
      <c r="B128" s="13" t="s">
        <v>45</v>
      </c>
      <c r="C128" s="13" t="s">
        <v>187</v>
      </c>
      <c r="D128" s="13" t="s">
        <v>6</v>
      </c>
      <c r="E128" s="22">
        <v>1</v>
      </c>
      <c r="F128" s="17">
        <v>500</v>
      </c>
      <c r="G128" s="38">
        <v>0</v>
      </c>
      <c r="H128" s="38">
        <v>0</v>
      </c>
      <c r="I128" s="38">
        <v>0</v>
      </c>
    </row>
    <row r="129" spans="1:9" ht="15.75" outlineLevel="3">
      <c r="A129" s="33" t="s">
        <v>64</v>
      </c>
      <c r="B129" s="13" t="s">
        <v>45</v>
      </c>
      <c r="C129" s="13" t="s">
        <v>68</v>
      </c>
      <c r="D129" s="13"/>
      <c r="E129" s="22"/>
      <c r="F129" s="17"/>
      <c r="G129" s="38">
        <f>SUM(G130+G140+G142)</f>
        <v>18937.1</v>
      </c>
      <c r="H129" s="38">
        <f>SUM(H130+H140+H142)</f>
        <v>5196.02107</v>
      </c>
      <c r="I129" s="38">
        <f t="shared" si="3"/>
        <v>27.438314578261718</v>
      </c>
    </row>
    <row r="130" spans="1:9" ht="48.75" customHeight="1" outlineLevel="1">
      <c r="A130" s="33" t="s">
        <v>224</v>
      </c>
      <c r="B130" s="13" t="s">
        <v>45</v>
      </c>
      <c r="C130" s="13" t="s">
        <v>68</v>
      </c>
      <c r="D130" s="13" t="s">
        <v>6</v>
      </c>
      <c r="E130" s="22">
        <v>0</v>
      </c>
      <c r="F130" s="17"/>
      <c r="G130" s="38">
        <f>SUM(G131+G134+G137)</f>
        <v>18937.1</v>
      </c>
      <c r="H130" s="38">
        <f>SUM(H131+H134+H137)</f>
        <v>5196.02107</v>
      </c>
      <c r="I130" s="38">
        <f t="shared" si="3"/>
        <v>27.438314578261718</v>
      </c>
    </row>
    <row r="131" spans="1:9" ht="64.5" customHeight="1" outlineLevel="1">
      <c r="A131" s="33" t="s">
        <v>215</v>
      </c>
      <c r="B131" s="13" t="s">
        <v>45</v>
      </c>
      <c r="C131" s="13" t="s">
        <v>68</v>
      </c>
      <c r="D131" s="13" t="s">
        <v>6</v>
      </c>
      <c r="E131" s="22">
        <v>1</v>
      </c>
      <c r="F131" s="17"/>
      <c r="G131" s="38">
        <f>SUM(G132:G133)</f>
        <v>6737.1</v>
      </c>
      <c r="H131" s="38">
        <f>SUM(H132:H133)</f>
        <v>5196.02107</v>
      </c>
      <c r="I131" s="38">
        <f t="shared" si="3"/>
        <v>77.12548529782843</v>
      </c>
    </row>
    <row r="132" spans="1:9" ht="33.75" customHeight="1" outlineLevel="1">
      <c r="A132" s="33" t="s">
        <v>116</v>
      </c>
      <c r="B132" s="13" t="s">
        <v>45</v>
      </c>
      <c r="C132" s="13" t="s">
        <v>68</v>
      </c>
      <c r="D132" s="13" t="s">
        <v>6</v>
      </c>
      <c r="E132" s="22">
        <v>1</v>
      </c>
      <c r="F132" s="17">
        <v>200</v>
      </c>
      <c r="G132" s="38">
        <f>410+41.1</f>
        <v>451.1</v>
      </c>
      <c r="H132" s="38">
        <v>323.27107</v>
      </c>
      <c r="I132" s="38">
        <f t="shared" si="3"/>
        <v>71.66283972511638</v>
      </c>
    </row>
    <row r="133" spans="1:9" ht="16.5" customHeight="1" outlineLevel="1">
      <c r="A133" s="33" t="s">
        <v>185</v>
      </c>
      <c r="B133" s="13" t="s">
        <v>45</v>
      </c>
      <c r="C133" s="13" t="s">
        <v>68</v>
      </c>
      <c r="D133" s="13" t="s">
        <v>6</v>
      </c>
      <c r="E133" s="22">
        <v>1</v>
      </c>
      <c r="F133" s="17">
        <v>500</v>
      </c>
      <c r="G133" s="38">
        <f>5653+633</f>
        <v>6286</v>
      </c>
      <c r="H133" s="38">
        <v>4872.75</v>
      </c>
      <c r="I133" s="38">
        <f t="shared" si="3"/>
        <v>77.51749920458161</v>
      </c>
    </row>
    <row r="134" spans="1:9" ht="36.75" customHeight="1" outlineLevel="1">
      <c r="A134" s="33" t="s">
        <v>234</v>
      </c>
      <c r="B134" s="13" t="s">
        <v>45</v>
      </c>
      <c r="C134" s="13" t="s">
        <v>68</v>
      </c>
      <c r="D134" s="13" t="s">
        <v>6</v>
      </c>
      <c r="E134" s="22">
        <v>2</v>
      </c>
      <c r="F134" s="17"/>
      <c r="G134" s="38">
        <f>SUM(G135)</f>
        <v>0</v>
      </c>
      <c r="H134" s="38">
        <f>SUM(H135)</f>
        <v>0</v>
      </c>
      <c r="I134" s="38">
        <v>0</v>
      </c>
    </row>
    <row r="135" spans="1:9" ht="29.25" customHeight="1" outlineLevel="1">
      <c r="A135" s="33" t="s">
        <v>235</v>
      </c>
      <c r="B135" s="13" t="s">
        <v>45</v>
      </c>
      <c r="C135" s="13" t="s">
        <v>68</v>
      </c>
      <c r="D135" s="13" t="s">
        <v>6</v>
      </c>
      <c r="E135" s="22">
        <v>2</v>
      </c>
      <c r="F135" s="17">
        <v>400</v>
      </c>
      <c r="G135" s="38">
        <v>0</v>
      </c>
      <c r="H135" s="38">
        <v>0</v>
      </c>
      <c r="I135" s="38">
        <v>0</v>
      </c>
    </row>
    <row r="136" spans="1:9" ht="29.25" customHeight="1" outlineLevel="1">
      <c r="A136" s="33" t="s">
        <v>116</v>
      </c>
      <c r="B136" s="13" t="s">
        <v>45</v>
      </c>
      <c r="C136" s="13" t="s">
        <v>68</v>
      </c>
      <c r="D136" s="13" t="s">
        <v>6</v>
      </c>
      <c r="E136" s="22">
        <v>2</v>
      </c>
      <c r="F136" s="17">
        <v>400</v>
      </c>
      <c r="G136" s="38">
        <v>0</v>
      </c>
      <c r="H136" s="38">
        <v>0</v>
      </c>
      <c r="I136" s="38">
        <v>0</v>
      </c>
    </row>
    <row r="137" spans="1:9" ht="52.5" customHeight="1" outlineLevel="1">
      <c r="A137" s="33" t="s">
        <v>238</v>
      </c>
      <c r="B137" s="13" t="s">
        <v>45</v>
      </c>
      <c r="C137" s="13" t="s">
        <v>68</v>
      </c>
      <c r="D137" s="13" t="s">
        <v>6</v>
      </c>
      <c r="E137" s="22">
        <v>3</v>
      </c>
      <c r="F137" s="17"/>
      <c r="G137" s="38">
        <f>SUM(G138:G139)</f>
        <v>12200</v>
      </c>
      <c r="H137" s="38">
        <f>SUM(H138:H139)</f>
        <v>0</v>
      </c>
      <c r="I137" s="38">
        <f t="shared" si="3"/>
        <v>0</v>
      </c>
    </row>
    <row r="138" spans="1:9" ht="32.25" customHeight="1" outlineLevel="1">
      <c r="A138" s="33" t="s">
        <v>236</v>
      </c>
      <c r="B138" s="13" t="s">
        <v>45</v>
      </c>
      <c r="C138" s="13" t="s">
        <v>68</v>
      </c>
      <c r="D138" s="13" t="s">
        <v>6</v>
      </c>
      <c r="E138" s="22">
        <v>3</v>
      </c>
      <c r="F138" s="17">
        <v>200</v>
      </c>
      <c r="G138" s="38">
        <f>606.9-606.9</f>
        <v>0</v>
      </c>
      <c r="H138" s="38">
        <v>0</v>
      </c>
      <c r="I138" s="38">
        <v>0</v>
      </c>
    </row>
    <row r="139" spans="1:9" ht="35.25" customHeight="1" outlineLevel="1">
      <c r="A139" s="33" t="s">
        <v>188</v>
      </c>
      <c r="B139" s="13" t="s">
        <v>45</v>
      </c>
      <c r="C139" s="13" t="s">
        <v>68</v>
      </c>
      <c r="D139" s="13" t="s">
        <v>6</v>
      </c>
      <c r="E139" s="22">
        <v>3</v>
      </c>
      <c r="F139" s="17">
        <v>400</v>
      </c>
      <c r="G139" s="38">
        <f>12000+200</f>
        <v>12200</v>
      </c>
      <c r="H139" s="38">
        <v>0</v>
      </c>
      <c r="I139" s="38">
        <f aca="true" t="shared" si="7" ref="I139:I202">SUM(H139/G139)*100</f>
        <v>0</v>
      </c>
    </row>
    <row r="140" spans="1:9" ht="48.75" customHeight="1" outlineLevel="2">
      <c r="A140" s="33" t="s">
        <v>231</v>
      </c>
      <c r="B140" s="13" t="s">
        <v>45</v>
      </c>
      <c r="C140" s="13" t="s">
        <v>68</v>
      </c>
      <c r="D140" s="13" t="s">
        <v>216</v>
      </c>
      <c r="E140" s="22">
        <v>0</v>
      </c>
      <c r="F140" s="17"/>
      <c r="G140" s="38">
        <f>SUM(G141)</f>
        <v>0</v>
      </c>
      <c r="H140" s="38">
        <f>SUM(H141)</f>
        <v>0</v>
      </c>
      <c r="I140" s="38">
        <v>0</v>
      </c>
    </row>
    <row r="141" spans="1:9" ht="30.75" customHeight="1" outlineLevel="5">
      <c r="A141" s="33" t="s">
        <v>188</v>
      </c>
      <c r="B141" s="13" t="s">
        <v>45</v>
      </c>
      <c r="C141" s="13" t="s">
        <v>68</v>
      </c>
      <c r="D141" s="13" t="s">
        <v>216</v>
      </c>
      <c r="E141" s="22">
        <v>0</v>
      </c>
      <c r="F141" s="17">
        <v>400</v>
      </c>
      <c r="G141" s="38">
        <f>6.5-6.5</f>
        <v>0</v>
      </c>
      <c r="H141" s="38">
        <v>0</v>
      </c>
      <c r="I141" s="38">
        <v>0</v>
      </c>
    </row>
    <row r="142" spans="1:9" ht="80.25" customHeight="1" outlineLevel="2">
      <c r="A142" s="33" t="s">
        <v>65</v>
      </c>
      <c r="B142" s="13" t="s">
        <v>45</v>
      </c>
      <c r="C142" s="13" t="s">
        <v>68</v>
      </c>
      <c r="D142" s="13"/>
      <c r="E142" s="22"/>
      <c r="F142" s="17"/>
      <c r="G142" s="38">
        <f>SUM(G143)</f>
        <v>0</v>
      </c>
      <c r="H142" s="38">
        <f>SUM(H143)</f>
        <v>0</v>
      </c>
      <c r="I142" s="38">
        <v>0</v>
      </c>
    </row>
    <row r="143" spans="1:9" ht="36.75" customHeight="1" outlineLevel="2">
      <c r="A143" s="33" t="s">
        <v>182</v>
      </c>
      <c r="B143" s="13" t="s">
        <v>45</v>
      </c>
      <c r="C143" s="13" t="s">
        <v>68</v>
      </c>
      <c r="D143" s="13" t="s">
        <v>16</v>
      </c>
      <c r="E143" s="22">
        <v>0</v>
      </c>
      <c r="F143" s="17"/>
      <c r="G143" s="38">
        <f>SUM(G144)</f>
        <v>0</v>
      </c>
      <c r="H143" s="38">
        <f>SUM(H144)</f>
        <v>0</v>
      </c>
      <c r="I143" s="38">
        <v>0</v>
      </c>
    </row>
    <row r="144" spans="1:9" ht="15.75" outlineLevel="2">
      <c r="A144" s="33" t="s">
        <v>167</v>
      </c>
      <c r="B144" s="13" t="s">
        <v>45</v>
      </c>
      <c r="C144" s="13" t="s">
        <v>68</v>
      </c>
      <c r="D144" s="13" t="s">
        <v>16</v>
      </c>
      <c r="E144" s="22">
        <v>0</v>
      </c>
      <c r="F144" s="17">
        <v>800</v>
      </c>
      <c r="G144" s="38">
        <f>132.3-132.3</f>
        <v>0</v>
      </c>
      <c r="H144" s="38">
        <v>0</v>
      </c>
      <c r="I144" s="38">
        <v>0</v>
      </c>
    </row>
    <row r="145" spans="1:9" ht="15.75" outlineLevel="5">
      <c r="A145" s="33" t="s">
        <v>69</v>
      </c>
      <c r="B145" s="13" t="s">
        <v>45</v>
      </c>
      <c r="C145" s="13" t="s">
        <v>133</v>
      </c>
      <c r="D145" s="13"/>
      <c r="E145" s="22"/>
      <c r="F145" s="17"/>
      <c r="G145" s="38">
        <f>SUM(G147)</f>
        <v>50</v>
      </c>
      <c r="H145" s="38">
        <f>SUM(H147)</f>
        <v>0</v>
      </c>
      <c r="I145" s="38">
        <f t="shared" si="7"/>
        <v>0</v>
      </c>
    </row>
    <row r="146" spans="1:9" ht="53.25" customHeight="1" outlineLevel="5">
      <c r="A146" s="33" t="s">
        <v>206</v>
      </c>
      <c r="B146" s="13" t="s">
        <v>45</v>
      </c>
      <c r="C146" s="13" t="s">
        <v>72</v>
      </c>
      <c r="D146" s="13" t="s">
        <v>15</v>
      </c>
      <c r="E146" s="22">
        <v>0</v>
      </c>
      <c r="F146" s="17"/>
      <c r="G146" s="38">
        <f>SUM(G147)</f>
        <v>50</v>
      </c>
      <c r="H146" s="38">
        <f>SUM(H147)</f>
        <v>0</v>
      </c>
      <c r="I146" s="38">
        <f t="shared" si="7"/>
        <v>0</v>
      </c>
    </row>
    <row r="147" spans="1:9" ht="31.5" customHeight="1" outlineLevel="5">
      <c r="A147" s="33" t="s">
        <v>116</v>
      </c>
      <c r="B147" s="13" t="s">
        <v>45</v>
      </c>
      <c r="C147" s="13" t="s">
        <v>72</v>
      </c>
      <c r="D147" s="13" t="s">
        <v>15</v>
      </c>
      <c r="E147" s="22">
        <v>0</v>
      </c>
      <c r="F147" s="17">
        <v>200</v>
      </c>
      <c r="G147" s="38">
        <v>50</v>
      </c>
      <c r="H147" s="38">
        <v>0</v>
      </c>
      <c r="I147" s="38">
        <f t="shared" si="7"/>
        <v>0</v>
      </c>
    </row>
    <row r="148" spans="1:9" ht="15.75" outlineLevel="5">
      <c r="A148" s="33" t="s">
        <v>73</v>
      </c>
      <c r="B148" s="13" t="s">
        <v>45</v>
      </c>
      <c r="C148" s="13" t="s">
        <v>76</v>
      </c>
      <c r="D148" s="13"/>
      <c r="E148" s="22"/>
      <c r="F148" s="17"/>
      <c r="G148" s="38">
        <f>SUM(G149+G165+G214+G239+G201)</f>
        <v>166595.67148000002</v>
      </c>
      <c r="H148" s="38">
        <f>SUM(H149+H165+H214+H239+H201)</f>
        <v>142028.88823000004</v>
      </c>
      <c r="I148" s="38">
        <f t="shared" si="7"/>
        <v>85.25364853014848</v>
      </c>
    </row>
    <row r="149" spans="1:9" ht="15.75" outlineLevel="5">
      <c r="A149" s="33" t="s">
        <v>74</v>
      </c>
      <c r="B149" s="13" t="s">
        <v>45</v>
      </c>
      <c r="C149" s="13" t="s">
        <v>75</v>
      </c>
      <c r="D149" s="13"/>
      <c r="E149" s="22"/>
      <c r="F149" s="17"/>
      <c r="G149" s="38">
        <f>SUM(G150+G160+G158+G156)</f>
        <v>27141.841879999993</v>
      </c>
      <c r="H149" s="38">
        <f>SUM(H150+H160+H158+H156)</f>
        <v>23553.775659999996</v>
      </c>
      <c r="I149" s="38">
        <f t="shared" si="7"/>
        <v>86.78031418846362</v>
      </c>
    </row>
    <row r="150" spans="1:9" ht="52.5" customHeight="1" outlineLevel="5">
      <c r="A150" s="33" t="s">
        <v>224</v>
      </c>
      <c r="B150" s="13" t="s">
        <v>45</v>
      </c>
      <c r="C150" s="13" t="s">
        <v>75</v>
      </c>
      <c r="D150" s="13" t="s">
        <v>6</v>
      </c>
      <c r="E150" s="22">
        <v>0</v>
      </c>
      <c r="F150" s="17"/>
      <c r="G150" s="38">
        <f>SUM(G151+G154)</f>
        <v>850</v>
      </c>
      <c r="H150" s="38">
        <f>SUM(H151+H154)</f>
        <v>696.98516</v>
      </c>
      <c r="I150" s="38">
        <f t="shared" si="7"/>
        <v>81.99825411764705</v>
      </c>
    </row>
    <row r="151" spans="1:9" ht="48" customHeight="1" outlineLevel="5">
      <c r="A151" s="33" t="s">
        <v>240</v>
      </c>
      <c r="B151" s="13" t="s">
        <v>45</v>
      </c>
      <c r="C151" s="13" t="s">
        <v>75</v>
      </c>
      <c r="D151" s="13" t="s">
        <v>6</v>
      </c>
      <c r="E151" s="22">
        <v>3</v>
      </c>
      <c r="F151" s="17"/>
      <c r="G151" s="38">
        <f>SUM(G152:G153)</f>
        <v>375.3</v>
      </c>
      <c r="H151" s="38">
        <f>SUM(H152:H153)</f>
        <v>375.17078</v>
      </c>
      <c r="I151" s="38">
        <f t="shared" si="7"/>
        <v>99.96556887823074</v>
      </c>
    </row>
    <row r="152" spans="1:9" ht="33.75" customHeight="1" outlineLevel="5">
      <c r="A152" s="33" t="s">
        <v>188</v>
      </c>
      <c r="B152" s="13" t="s">
        <v>45</v>
      </c>
      <c r="C152" s="13" t="s">
        <v>75</v>
      </c>
      <c r="D152" s="13" t="s">
        <v>6</v>
      </c>
      <c r="E152" s="22">
        <v>3</v>
      </c>
      <c r="F152" s="17">
        <v>400</v>
      </c>
      <c r="G152" s="38">
        <f>797.6+2966.2-797.6-2966.2</f>
        <v>0</v>
      </c>
      <c r="H152" s="38">
        <v>0</v>
      </c>
      <c r="I152" s="38">
        <v>0</v>
      </c>
    </row>
    <row r="153" spans="1:9" ht="32.25" customHeight="1" outlineLevel="5">
      <c r="A153" s="33" t="s">
        <v>183</v>
      </c>
      <c r="B153" s="13" t="s">
        <v>45</v>
      </c>
      <c r="C153" s="13" t="s">
        <v>75</v>
      </c>
      <c r="D153" s="13" t="s">
        <v>6</v>
      </c>
      <c r="E153" s="22">
        <v>3</v>
      </c>
      <c r="F153" s="17">
        <v>600</v>
      </c>
      <c r="G153" s="38">
        <f>610-550+250+20+45.3</f>
        <v>375.3</v>
      </c>
      <c r="H153" s="38">
        <v>375.17078</v>
      </c>
      <c r="I153" s="38">
        <f t="shared" si="7"/>
        <v>99.96556887823074</v>
      </c>
    </row>
    <row r="154" spans="1:9" ht="47.25" outlineLevel="5">
      <c r="A154" s="33" t="s">
        <v>218</v>
      </c>
      <c r="B154" s="13" t="s">
        <v>45</v>
      </c>
      <c r="C154" s="13" t="s">
        <v>75</v>
      </c>
      <c r="D154" s="13" t="s">
        <v>6</v>
      </c>
      <c r="E154" s="22">
        <v>4</v>
      </c>
      <c r="F154" s="17"/>
      <c r="G154" s="38">
        <f>SUM(G155:G155)</f>
        <v>474.7</v>
      </c>
      <c r="H154" s="38">
        <f>SUM(H155:H155)</f>
        <v>321.81438</v>
      </c>
      <c r="I154" s="38">
        <f t="shared" si="7"/>
        <v>67.79321255529808</v>
      </c>
    </row>
    <row r="155" spans="1:9" ht="34.5" customHeight="1" outlineLevel="5">
      <c r="A155" s="33" t="s">
        <v>183</v>
      </c>
      <c r="B155" s="13" t="s">
        <v>45</v>
      </c>
      <c r="C155" s="13" t="s">
        <v>75</v>
      </c>
      <c r="D155" s="13" t="s">
        <v>6</v>
      </c>
      <c r="E155" s="22">
        <v>4</v>
      </c>
      <c r="F155" s="17">
        <v>600</v>
      </c>
      <c r="G155" s="38">
        <f>440+100-20-45.3</f>
        <v>474.7</v>
      </c>
      <c r="H155" s="38">
        <v>321.81438</v>
      </c>
      <c r="I155" s="38">
        <f t="shared" si="7"/>
        <v>67.79321255529808</v>
      </c>
    </row>
    <row r="156" spans="1:9" ht="50.25" customHeight="1" outlineLevel="5">
      <c r="A156" s="33" t="s">
        <v>271</v>
      </c>
      <c r="B156" s="13" t="s">
        <v>45</v>
      </c>
      <c r="C156" s="13" t="s">
        <v>75</v>
      </c>
      <c r="D156" s="13" t="s">
        <v>270</v>
      </c>
      <c r="E156" s="22">
        <v>0</v>
      </c>
      <c r="F156" s="17"/>
      <c r="G156" s="38">
        <f>SUM(G157)</f>
        <v>175</v>
      </c>
      <c r="H156" s="38">
        <f>SUM(H157)</f>
        <v>175</v>
      </c>
      <c r="I156" s="38">
        <f t="shared" si="7"/>
        <v>100</v>
      </c>
    </row>
    <row r="157" spans="1:9" ht="34.5" customHeight="1" outlineLevel="5">
      <c r="A157" s="33" t="s">
        <v>183</v>
      </c>
      <c r="B157" s="13" t="s">
        <v>45</v>
      </c>
      <c r="C157" s="13" t="s">
        <v>75</v>
      </c>
      <c r="D157" s="13" t="s">
        <v>270</v>
      </c>
      <c r="E157" s="22">
        <v>0</v>
      </c>
      <c r="F157" s="17">
        <v>600</v>
      </c>
      <c r="G157" s="38">
        <f>160+15</f>
        <v>175</v>
      </c>
      <c r="H157" s="38">
        <v>175</v>
      </c>
      <c r="I157" s="38">
        <f t="shared" si="7"/>
        <v>100</v>
      </c>
    </row>
    <row r="158" spans="1:9" ht="141.75" customHeight="1" outlineLevel="5">
      <c r="A158" s="33" t="s">
        <v>241</v>
      </c>
      <c r="B158" s="13" t="s">
        <v>45</v>
      </c>
      <c r="C158" s="13" t="s">
        <v>75</v>
      </c>
      <c r="D158" s="13" t="s">
        <v>242</v>
      </c>
      <c r="E158" s="22">
        <v>0</v>
      </c>
      <c r="F158" s="17"/>
      <c r="G158" s="38">
        <f>SUM(G159:G159)</f>
        <v>70.622</v>
      </c>
      <c r="H158" s="38">
        <f>SUM(H159:H159)</f>
        <v>0</v>
      </c>
      <c r="I158" s="38">
        <f t="shared" si="7"/>
        <v>0</v>
      </c>
    </row>
    <row r="159" spans="1:9" ht="34.5" customHeight="1" outlineLevel="5">
      <c r="A159" s="33" t="s">
        <v>183</v>
      </c>
      <c r="B159" s="13" t="s">
        <v>45</v>
      </c>
      <c r="C159" s="13" t="s">
        <v>75</v>
      </c>
      <c r="D159" s="13" t="s">
        <v>242</v>
      </c>
      <c r="E159" s="22">
        <v>0</v>
      </c>
      <c r="F159" s="17">
        <v>600</v>
      </c>
      <c r="G159" s="38">
        <f>34.4+36.222</f>
        <v>70.622</v>
      </c>
      <c r="H159" s="38">
        <v>0</v>
      </c>
      <c r="I159" s="38">
        <f t="shared" si="7"/>
        <v>0</v>
      </c>
    </row>
    <row r="160" spans="1:9" ht="64.5" customHeight="1" outlineLevel="1">
      <c r="A160" s="33" t="s">
        <v>209</v>
      </c>
      <c r="B160" s="13" t="s">
        <v>45</v>
      </c>
      <c r="C160" s="13" t="s">
        <v>75</v>
      </c>
      <c r="D160" s="13" t="s">
        <v>21</v>
      </c>
      <c r="E160" s="22">
        <v>0</v>
      </c>
      <c r="F160" s="17"/>
      <c r="G160" s="38">
        <f>SUM(G161:G164)</f>
        <v>26046.219879999993</v>
      </c>
      <c r="H160" s="38">
        <f>SUM(H161:H164)</f>
        <v>22681.790499999996</v>
      </c>
      <c r="I160" s="38">
        <f t="shared" si="7"/>
        <v>87.08284965918057</v>
      </c>
    </row>
    <row r="161" spans="1:9" ht="36" customHeight="1" outlineLevel="2">
      <c r="A161" s="33" t="s">
        <v>183</v>
      </c>
      <c r="B161" s="13" t="s">
        <v>45</v>
      </c>
      <c r="C161" s="13" t="s">
        <v>75</v>
      </c>
      <c r="D161" s="13" t="s">
        <v>21</v>
      </c>
      <c r="E161" s="22">
        <v>0</v>
      </c>
      <c r="F161" s="17">
        <v>600</v>
      </c>
      <c r="G161" s="38">
        <f>12400+91.6+1419.8+250</f>
        <v>14161.4</v>
      </c>
      <c r="H161" s="38">
        <v>11420.07448</v>
      </c>
      <c r="I161" s="38">
        <f t="shared" si="7"/>
        <v>80.64227039699465</v>
      </c>
    </row>
    <row r="162" spans="1:9" ht="49.5" customHeight="1" outlineLevel="3">
      <c r="A162" s="33" t="s">
        <v>170</v>
      </c>
      <c r="B162" s="13" t="s">
        <v>45</v>
      </c>
      <c r="C162" s="13" t="s">
        <v>75</v>
      </c>
      <c r="D162" s="13" t="s">
        <v>21</v>
      </c>
      <c r="E162" s="22">
        <v>0</v>
      </c>
      <c r="F162" s="17">
        <v>600</v>
      </c>
      <c r="G162" s="38">
        <f>14645.9-3655.6+182.9-244.82407+703.5</f>
        <v>11631.875929999998</v>
      </c>
      <c r="H162" s="38">
        <f>11253.59614-H163</f>
        <v>11008.772069999999</v>
      </c>
      <c r="I162" s="38">
        <f t="shared" si="7"/>
        <v>94.6431352625337</v>
      </c>
    </row>
    <row r="163" spans="1:9" ht="66" customHeight="1" outlineLevel="3">
      <c r="A163" s="33" t="s">
        <v>247</v>
      </c>
      <c r="B163" s="13" t="s">
        <v>45</v>
      </c>
      <c r="C163" s="13" t="s">
        <v>75</v>
      </c>
      <c r="D163" s="13" t="s">
        <v>21</v>
      </c>
      <c r="E163" s="22">
        <v>0</v>
      </c>
      <c r="F163" s="17">
        <v>600</v>
      </c>
      <c r="G163" s="38">
        <f>244.82407</f>
        <v>244.82407</v>
      </c>
      <c r="H163" s="38">
        <v>244.82407</v>
      </c>
      <c r="I163" s="38">
        <f t="shared" si="7"/>
        <v>100</v>
      </c>
    </row>
    <row r="164" spans="1:9" ht="36.75" customHeight="1">
      <c r="A164" s="33" t="s">
        <v>189</v>
      </c>
      <c r="B164" s="13" t="s">
        <v>45</v>
      </c>
      <c r="C164" s="13" t="s">
        <v>75</v>
      </c>
      <c r="D164" s="13" t="s">
        <v>21</v>
      </c>
      <c r="E164" s="22">
        <v>0</v>
      </c>
      <c r="F164" s="17">
        <v>600</v>
      </c>
      <c r="G164" s="38">
        <f>15-6.88012</f>
        <v>8.11988</v>
      </c>
      <c r="H164" s="38">
        <v>8.11988</v>
      </c>
      <c r="I164" s="38">
        <f t="shared" si="7"/>
        <v>100</v>
      </c>
    </row>
    <row r="165" spans="1:9" ht="15.75" outlineLevel="5">
      <c r="A165" s="33" t="s">
        <v>82</v>
      </c>
      <c r="B165" s="13" t="s">
        <v>45</v>
      </c>
      <c r="C165" s="13" t="s">
        <v>77</v>
      </c>
      <c r="D165" s="13"/>
      <c r="E165" s="22"/>
      <c r="F165" s="17"/>
      <c r="G165" s="45">
        <f>SUM(G166)</f>
        <v>119336.47312</v>
      </c>
      <c r="H165" s="45">
        <f>SUM(H166)</f>
        <v>103495.89012000003</v>
      </c>
      <c r="I165" s="38">
        <f t="shared" si="7"/>
        <v>86.7261176856875</v>
      </c>
    </row>
    <row r="166" spans="1:9" ht="31.5" outlineLevel="5">
      <c r="A166" s="33" t="s">
        <v>78</v>
      </c>
      <c r="B166" s="13" t="s">
        <v>45</v>
      </c>
      <c r="C166" s="13" t="s">
        <v>77</v>
      </c>
      <c r="D166" s="13"/>
      <c r="E166" s="22"/>
      <c r="F166" s="17"/>
      <c r="G166" s="38">
        <f>SUM(G167+G176+G184+G182+G178+G173)</f>
        <v>119336.47312</v>
      </c>
      <c r="H166" s="38">
        <f>SUM(H167+H176+H184+H182+H178+H173)</f>
        <v>103495.89012000003</v>
      </c>
      <c r="I166" s="38">
        <f t="shared" si="7"/>
        <v>86.7261176856875</v>
      </c>
    </row>
    <row r="167" spans="1:9" ht="52.5" customHeight="1" outlineLevel="5">
      <c r="A167" s="33" t="s">
        <v>224</v>
      </c>
      <c r="B167" s="13" t="s">
        <v>45</v>
      </c>
      <c r="C167" s="13" t="s">
        <v>77</v>
      </c>
      <c r="D167" s="13" t="s">
        <v>6</v>
      </c>
      <c r="E167" s="22">
        <v>0</v>
      </c>
      <c r="F167" s="17"/>
      <c r="G167" s="38">
        <f>SUM(G168+G170)</f>
        <v>7613.13</v>
      </c>
      <c r="H167" s="38">
        <f>SUM(H168+H170)</f>
        <v>6385.70853</v>
      </c>
      <c r="I167" s="38">
        <f t="shared" si="7"/>
        <v>83.87757111726714</v>
      </c>
    </row>
    <row r="168" spans="1:9" ht="47.25" customHeight="1" outlineLevel="5">
      <c r="A168" s="33" t="s">
        <v>240</v>
      </c>
      <c r="B168" s="13" t="s">
        <v>45</v>
      </c>
      <c r="C168" s="13" t="s">
        <v>77</v>
      </c>
      <c r="D168" s="13" t="s">
        <v>6</v>
      </c>
      <c r="E168" s="22">
        <v>3</v>
      </c>
      <c r="F168" s="17"/>
      <c r="G168" s="38">
        <f>SUM(G169:G169)</f>
        <v>5393.83</v>
      </c>
      <c r="H168" s="38">
        <f>SUM(H169:H169)</f>
        <v>4501.2385</v>
      </c>
      <c r="I168" s="38">
        <f t="shared" si="7"/>
        <v>83.45161972105166</v>
      </c>
    </row>
    <row r="169" spans="1:9" ht="29.25" customHeight="1" outlineLevel="5">
      <c r="A169" s="33" t="s">
        <v>183</v>
      </c>
      <c r="B169" s="13" t="s">
        <v>45</v>
      </c>
      <c r="C169" s="13" t="s">
        <v>77</v>
      </c>
      <c r="D169" s="13" t="s">
        <v>6</v>
      </c>
      <c r="E169" s="22">
        <v>3</v>
      </c>
      <c r="F169" s="17">
        <v>600</v>
      </c>
      <c r="G169" s="38">
        <f>5440-200-500-500-1049+50+1221.4+8.43+400+69+300+54+100</f>
        <v>5393.83</v>
      </c>
      <c r="H169" s="38">
        <v>4501.2385</v>
      </c>
      <c r="I169" s="38">
        <f t="shared" si="7"/>
        <v>83.45161972105166</v>
      </c>
    </row>
    <row r="170" spans="1:9" ht="47.25" outlineLevel="5">
      <c r="A170" s="33" t="s">
        <v>218</v>
      </c>
      <c r="B170" s="13" t="s">
        <v>45</v>
      </c>
      <c r="C170" s="13" t="s">
        <v>77</v>
      </c>
      <c r="D170" s="13" t="s">
        <v>6</v>
      </c>
      <c r="E170" s="22">
        <v>4</v>
      </c>
      <c r="F170" s="17"/>
      <c r="G170" s="38">
        <f>SUM(G171:G172)</f>
        <v>2219.3</v>
      </c>
      <c r="H170" s="38">
        <f>SUM(H171:H172)</f>
        <v>1884.47003</v>
      </c>
      <c r="I170" s="38">
        <f t="shared" si="7"/>
        <v>84.91281169738205</v>
      </c>
    </row>
    <row r="171" spans="1:9" ht="31.5" outlineLevel="5">
      <c r="A171" s="33" t="s">
        <v>116</v>
      </c>
      <c r="B171" s="13" t="s">
        <v>45</v>
      </c>
      <c r="C171" s="13" t="s">
        <v>77</v>
      </c>
      <c r="D171" s="13" t="s">
        <v>6</v>
      </c>
      <c r="E171" s="22">
        <v>4</v>
      </c>
      <c r="F171" s="17">
        <v>200</v>
      </c>
      <c r="G171" s="38">
        <f>140-30</f>
        <v>110</v>
      </c>
      <c r="H171" s="38">
        <v>33.91469</v>
      </c>
      <c r="I171" s="38">
        <f t="shared" si="7"/>
        <v>30.831536363636364</v>
      </c>
    </row>
    <row r="172" spans="1:9" ht="34.5" customHeight="1" outlineLevel="5">
      <c r="A172" s="33" t="s">
        <v>183</v>
      </c>
      <c r="B172" s="13" t="s">
        <v>45</v>
      </c>
      <c r="C172" s="13" t="s">
        <v>77</v>
      </c>
      <c r="D172" s="13" t="s">
        <v>6</v>
      </c>
      <c r="E172" s="22">
        <v>4</v>
      </c>
      <c r="F172" s="17">
        <v>600</v>
      </c>
      <c r="G172" s="38">
        <f>820+1111.5+177.8</f>
        <v>2109.3</v>
      </c>
      <c r="H172" s="38">
        <v>1850.55534</v>
      </c>
      <c r="I172" s="38">
        <f t="shared" si="7"/>
        <v>87.73315033423408</v>
      </c>
    </row>
    <row r="173" spans="1:9" ht="47.25" customHeight="1" outlineLevel="5">
      <c r="A173" s="33" t="s">
        <v>271</v>
      </c>
      <c r="B173" s="13" t="s">
        <v>45</v>
      </c>
      <c r="C173" s="13" t="s">
        <v>77</v>
      </c>
      <c r="D173" s="13" t="s">
        <v>270</v>
      </c>
      <c r="E173" s="22">
        <v>0</v>
      </c>
      <c r="F173" s="17"/>
      <c r="G173" s="38">
        <f>SUM(G174:G175)</f>
        <v>470</v>
      </c>
      <c r="H173" s="38">
        <f>SUM(H174:H175)</f>
        <v>390</v>
      </c>
      <c r="I173" s="38">
        <f t="shared" si="7"/>
        <v>82.97872340425532</v>
      </c>
    </row>
    <row r="174" spans="1:9" ht="34.5" customHeight="1" outlineLevel="5">
      <c r="A174" s="33" t="s">
        <v>116</v>
      </c>
      <c r="B174" s="13" t="s">
        <v>45</v>
      </c>
      <c r="C174" s="13" t="s">
        <v>77</v>
      </c>
      <c r="D174" s="13" t="s">
        <v>270</v>
      </c>
      <c r="E174" s="22">
        <v>0</v>
      </c>
      <c r="F174" s="17">
        <v>200</v>
      </c>
      <c r="G174" s="38">
        <f>40+25</f>
        <v>65</v>
      </c>
      <c r="H174" s="38">
        <v>65</v>
      </c>
      <c r="I174" s="38">
        <f t="shared" si="7"/>
        <v>100</v>
      </c>
    </row>
    <row r="175" spans="1:9" ht="34.5" customHeight="1" outlineLevel="5">
      <c r="A175" s="33" t="s">
        <v>183</v>
      </c>
      <c r="B175" s="13" t="s">
        <v>45</v>
      </c>
      <c r="C175" s="13" t="s">
        <v>77</v>
      </c>
      <c r="D175" s="13" t="s">
        <v>270</v>
      </c>
      <c r="E175" s="22">
        <v>0</v>
      </c>
      <c r="F175" s="17">
        <v>600</v>
      </c>
      <c r="G175" s="38">
        <f>300+105</f>
        <v>405</v>
      </c>
      <c r="H175" s="38">
        <v>325</v>
      </c>
      <c r="I175" s="38">
        <f t="shared" si="7"/>
        <v>80.24691358024691</v>
      </c>
    </row>
    <row r="176" spans="1:9" ht="66.75" customHeight="1" outlineLevel="5">
      <c r="A176" s="33" t="s">
        <v>221</v>
      </c>
      <c r="B176" s="13" t="s">
        <v>45</v>
      </c>
      <c r="C176" s="13" t="s">
        <v>77</v>
      </c>
      <c r="D176" s="13" t="s">
        <v>19</v>
      </c>
      <c r="E176" s="22">
        <v>0</v>
      </c>
      <c r="F176" s="17"/>
      <c r="G176" s="38">
        <f>SUM(G177)</f>
        <v>0</v>
      </c>
      <c r="H176" s="38">
        <f>SUM(H177)</f>
        <v>0</v>
      </c>
      <c r="I176" s="38">
        <v>0</v>
      </c>
    </row>
    <row r="177" spans="1:9" ht="30" customHeight="1" outlineLevel="5">
      <c r="A177" s="33" t="s">
        <v>183</v>
      </c>
      <c r="B177" s="13" t="s">
        <v>45</v>
      </c>
      <c r="C177" s="13" t="s">
        <v>77</v>
      </c>
      <c r="D177" s="13" t="s">
        <v>19</v>
      </c>
      <c r="E177" s="22">
        <v>0</v>
      </c>
      <c r="F177" s="17">
        <v>600</v>
      </c>
      <c r="G177" s="38">
        <f>100-100</f>
        <v>0</v>
      </c>
      <c r="H177" s="38">
        <v>0</v>
      </c>
      <c r="I177" s="38">
        <v>0</v>
      </c>
    </row>
    <row r="178" spans="1:9" ht="51.75" customHeight="1" outlineLevel="5">
      <c r="A178" s="33" t="s">
        <v>178</v>
      </c>
      <c r="B178" s="13" t="s">
        <v>45</v>
      </c>
      <c r="C178" s="13" t="s">
        <v>77</v>
      </c>
      <c r="D178" s="13" t="s">
        <v>20</v>
      </c>
      <c r="E178" s="22">
        <v>0</v>
      </c>
      <c r="F178" s="17"/>
      <c r="G178" s="38">
        <f>SUM(G179:G181)</f>
        <v>2589.2</v>
      </c>
      <c r="H178" s="38">
        <f>SUM(H179:H181)</f>
        <v>2324.9677300000003</v>
      </c>
      <c r="I178" s="38">
        <f t="shared" si="7"/>
        <v>89.79482967712038</v>
      </c>
    </row>
    <row r="179" spans="1:9" ht="40.5" customHeight="1" outlineLevel="5">
      <c r="A179" s="33" t="s">
        <v>264</v>
      </c>
      <c r="B179" s="13" t="s">
        <v>45</v>
      </c>
      <c r="C179" s="13" t="s">
        <v>77</v>
      </c>
      <c r="D179" s="13" t="s">
        <v>20</v>
      </c>
      <c r="E179" s="22">
        <v>0</v>
      </c>
      <c r="F179" s="17">
        <v>600</v>
      </c>
      <c r="G179" s="38">
        <f>300+600+100</f>
        <v>1000</v>
      </c>
      <c r="H179" s="38">
        <v>735.76773</v>
      </c>
      <c r="I179" s="38">
        <f t="shared" si="7"/>
        <v>73.576773</v>
      </c>
    </row>
    <row r="180" spans="1:9" ht="50.25" customHeight="1" outlineLevel="5">
      <c r="A180" s="33" t="s">
        <v>265</v>
      </c>
      <c r="B180" s="13" t="s">
        <v>45</v>
      </c>
      <c r="C180" s="13" t="s">
        <v>77</v>
      </c>
      <c r="D180" s="13" t="s">
        <v>20</v>
      </c>
      <c r="E180" s="22">
        <v>0</v>
      </c>
      <c r="F180" s="17">
        <v>600</v>
      </c>
      <c r="G180" s="38">
        <f>317.9</f>
        <v>317.9</v>
      </c>
      <c r="H180" s="38">
        <v>317.9</v>
      </c>
      <c r="I180" s="38">
        <f t="shared" si="7"/>
        <v>100</v>
      </c>
    </row>
    <row r="181" spans="1:9" ht="48.75" customHeight="1" outlineLevel="5">
      <c r="A181" s="33" t="s">
        <v>266</v>
      </c>
      <c r="B181" s="13" t="s">
        <v>45</v>
      </c>
      <c r="C181" s="13" t="s">
        <v>77</v>
      </c>
      <c r="D181" s="13" t="s">
        <v>20</v>
      </c>
      <c r="E181" s="22">
        <v>0</v>
      </c>
      <c r="F181" s="17">
        <v>600</v>
      </c>
      <c r="G181" s="38">
        <f>1271.3</f>
        <v>1271.3</v>
      </c>
      <c r="H181" s="38">
        <v>1271.3</v>
      </c>
      <c r="I181" s="38">
        <f t="shared" si="7"/>
        <v>100</v>
      </c>
    </row>
    <row r="182" spans="1:9" ht="144.75" customHeight="1" outlineLevel="5">
      <c r="A182" s="33" t="s">
        <v>241</v>
      </c>
      <c r="B182" s="13" t="s">
        <v>45</v>
      </c>
      <c r="C182" s="13" t="s">
        <v>77</v>
      </c>
      <c r="D182" s="13" t="s">
        <v>242</v>
      </c>
      <c r="E182" s="22">
        <v>0</v>
      </c>
      <c r="F182" s="17"/>
      <c r="G182" s="38">
        <f>SUM(G183:G183)</f>
        <v>135.47799999999998</v>
      </c>
      <c r="H182" s="38">
        <f>SUM(H183:H183)</f>
        <v>10.176</v>
      </c>
      <c r="I182" s="38">
        <f t="shared" si="7"/>
        <v>7.511182627437667</v>
      </c>
    </row>
    <row r="183" spans="1:9" ht="30.75" customHeight="1" outlineLevel="5">
      <c r="A183" s="33" t="s">
        <v>183</v>
      </c>
      <c r="B183" s="13" t="s">
        <v>45</v>
      </c>
      <c r="C183" s="13" t="s">
        <v>77</v>
      </c>
      <c r="D183" s="13" t="s">
        <v>242</v>
      </c>
      <c r="E183" s="22">
        <v>0</v>
      </c>
      <c r="F183" s="17">
        <v>600</v>
      </c>
      <c r="G183" s="38">
        <f>171.7-36.222</f>
        <v>135.47799999999998</v>
      </c>
      <c r="H183" s="38">
        <v>10.176</v>
      </c>
      <c r="I183" s="38">
        <f t="shared" si="7"/>
        <v>7.511182627437667</v>
      </c>
    </row>
    <row r="184" spans="1:9" ht="48.75" customHeight="1" outlineLevel="5">
      <c r="A184" s="33" t="s">
        <v>249</v>
      </c>
      <c r="B184" s="13" t="s">
        <v>45</v>
      </c>
      <c r="C184" s="13" t="s">
        <v>77</v>
      </c>
      <c r="D184" s="13" t="s">
        <v>22</v>
      </c>
      <c r="E184" s="22">
        <v>0</v>
      </c>
      <c r="F184" s="46"/>
      <c r="G184" s="45">
        <f>SUM(G185+G190)</f>
        <v>108528.66511999999</v>
      </c>
      <c r="H184" s="45">
        <f>SUM(H185+H190)</f>
        <v>94385.03786000001</v>
      </c>
      <c r="I184" s="38">
        <f t="shared" si="7"/>
        <v>86.9678418652239</v>
      </c>
    </row>
    <row r="185" spans="1:9" ht="18" customHeight="1" outlineLevel="5">
      <c r="A185" s="33" t="s">
        <v>81</v>
      </c>
      <c r="B185" s="13" t="s">
        <v>45</v>
      </c>
      <c r="C185" s="13" t="s">
        <v>77</v>
      </c>
      <c r="D185" s="13" t="s">
        <v>22</v>
      </c>
      <c r="E185" s="22">
        <v>0</v>
      </c>
      <c r="F185" s="17"/>
      <c r="G185" s="38">
        <f>SUM(G186:G189)</f>
        <v>20137.785</v>
      </c>
      <c r="H185" s="38">
        <f>SUM(H186:H189)</f>
        <v>16060.67041</v>
      </c>
      <c r="I185" s="38">
        <f t="shared" si="7"/>
        <v>79.7539074431473</v>
      </c>
    </row>
    <row r="186" spans="1:9" ht="81.75" customHeight="1" outlineLevel="5">
      <c r="A186" s="33" t="s">
        <v>115</v>
      </c>
      <c r="B186" s="13" t="s">
        <v>45</v>
      </c>
      <c r="C186" s="13" t="s">
        <v>77</v>
      </c>
      <c r="D186" s="13" t="s">
        <v>22</v>
      </c>
      <c r="E186" s="22">
        <v>0</v>
      </c>
      <c r="F186" s="17">
        <v>100</v>
      </c>
      <c r="G186" s="38">
        <f>51+68.38631</f>
        <v>119.38631</v>
      </c>
      <c r="H186" s="38">
        <v>73.29031</v>
      </c>
      <c r="I186" s="38">
        <f t="shared" si="7"/>
        <v>61.38920785808691</v>
      </c>
    </row>
    <row r="187" spans="1:9" ht="31.5" outlineLevel="5">
      <c r="A187" s="33" t="s">
        <v>116</v>
      </c>
      <c r="B187" s="13" t="s">
        <v>45</v>
      </c>
      <c r="C187" s="13" t="s">
        <v>77</v>
      </c>
      <c r="D187" s="13" t="s">
        <v>22</v>
      </c>
      <c r="E187" s="22">
        <v>0</v>
      </c>
      <c r="F187" s="17">
        <v>200</v>
      </c>
      <c r="G187" s="38">
        <f>1088+314.136+25+345.264+152-68.38631</f>
        <v>1856.01369</v>
      </c>
      <c r="H187" s="38">
        <v>1059.38073</v>
      </c>
      <c r="I187" s="38">
        <f t="shared" si="7"/>
        <v>57.07828211116267</v>
      </c>
    </row>
    <row r="188" spans="1:9" ht="15.75" outlineLevel="5">
      <c r="A188" s="33" t="s">
        <v>167</v>
      </c>
      <c r="B188" s="13" t="s">
        <v>45</v>
      </c>
      <c r="C188" s="13" t="s">
        <v>77</v>
      </c>
      <c r="D188" s="13" t="s">
        <v>22</v>
      </c>
      <c r="E188" s="22">
        <v>0</v>
      </c>
      <c r="F188" s="17">
        <v>800</v>
      </c>
      <c r="G188" s="38">
        <f>76.6</f>
        <v>76.6</v>
      </c>
      <c r="H188" s="38">
        <v>31.87129</v>
      </c>
      <c r="I188" s="38">
        <f t="shared" si="7"/>
        <v>41.607428198433425</v>
      </c>
    </row>
    <row r="189" spans="1:9" ht="33" customHeight="1" outlineLevel="5">
      <c r="A189" s="33" t="s">
        <v>183</v>
      </c>
      <c r="B189" s="13" t="s">
        <v>45</v>
      </c>
      <c r="C189" s="13" t="s">
        <v>77</v>
      </c>
      <c r="D189" s="13" t="s">
        <v>22</v>
      </c>
      <c r="E189" s="22">
        <v>0</v>
      </c>
      <c r="F189" s="17">
        <v>600</v>
      </c>
      <c r="G189" s="38">
        <f>12806.4+1252.1+3061.3-1279.7+516.5+1428.2-19.015+320</f>
        <v>18085.785</v>
      </c>
      <c r="H189" s="38">
        <v>14896.12808</v>
      </c>
      <c r="I189" s="38">
        <f t="shared" si="7"/>
        <v>82.36373527607455</v>
      </c>
    </row>
    <row r="190" spans="1:9" s="11" customFormat="1" ht="15.75" outlineLevel="2">
      <c r="A190" s="33" t="s">
        <v>190</v>
      </c>
      <c r="B190" s="13" t="s">
        <v>45</v>
      </c>
      <c r="C190" s="13" t="s">
        <v>77</v>
      </c>
      <c r="D190" s="13" t="s">
        <v>22</v>
      </c>
      <c r="E190" s="22">
        <v>0</v>
      </c>
      <c r="F190" s="17"/>
      <c r="G190" s="38">
        <f>SUM(G191:G200)</f>
        <v>88390.88011999999</v>
      </c>
      <c r="H190" s="38">
        <f>SUM(H191:H200)</f>
        <v>78324.36745</v>
      </c>
      <c r="I190" s="38">
        <f t="shared" si="7"/>
        <v>88.61136730810506</v>
      </c>
    </row>
    <row r="191" spans="1:9" ht="79.5" customHeight="1" outlineLevel="3">
      <c r="A191" s="33" t="s">
        <v>115</v>
      </c>
      <c r="B191" s="13" t="s">
        <v>45</v>
      </c>
      <c r="C191" s="13" t="s">
        <v>77</v>
      </c>
      <c r="D191" s="13" t="s">
        <v>22</v>
      </c>
      <c r="E191" s="22">
        <v>0</v>
      </c>
      <c r="F191" s="17">
        <v>100</v>
      </c>
      <c r="G191" s="38">
        <f>3873-228.11303+471.1+570+20</f>
        <v>4705.98697</v>
      </c>
      <c r="H191" s="38">
        <f>4137.06636-H192</f>
        <v>3908.95333</v>
      </c>
      <c r="I191" s="38">
        <f t="shared" si="7"/>
        <v>83.06341166941225</v>
      </c>
    </row>
    <row r="192" spans="1:9" ht="69" customHeight="1" outlineLevel="3">
      <c r="A192" s="33" t="s">
        <v>250</v>
      </c>
      <c r="B192" s="13" t="s">
        <v>45</v>
      </c>
      <c r="C192" s="13" t="s">
        <v>77</v>
      </c>
      <c r="D192" s="13" t="s">
        <v>22</v>
      </c>
      <c r="E192" s="22">
        <v>0</v>
      </c>
      <c r="F192" s="17">
        <v>100</v>
      </c>
      <c r="G192" s="38">
        <f>228.11303</f>
        <v>228.11303</v>
      </c>
      <c r="H192" s="38">
        <v>228.11303</v>
      </c>
      <c r="I192" s="38">
        <f t="shared" si="7"/>
        <v>100</v>
      </c>
    </row>
    <row r="193" spans="1:9" ht="31.5" outlineLevel="3">
      <c r="A193" s="33" t="s">
        <v>116</v>
      </c>
      <c r="B193" s="13" t="s">
        <v>45</v>
      </c>
      <c r="C193" s="13" t="s">
        <v>77</v>
      </c>
      <c r="D193" s="13" t="s">
        <v>22</v>
      </c>
      <c r="E193" s="22">
        <v>0</v>
      </c>
      <c r="F193" s="17">
        <v>200</v>
      </c>
      <c r="G193" s="38">
        <v>39.2</v>
      </c>
      <c r="H193" s="38">
        <f>12.65645-H194</f>
        <v>2.9165599999999987</v>
      </c>
      <c r="I193" s="38">
        <f t="shared" si="7"/>
        <v>7.44020408163265</v>
      </c>
    </row>
    <row r="194" spans="1:9" ht="64.5" customHeight="1" outlineLevel="3">
      <c r="A194" s="33" t="s">
        <v>250</v>
      </c>
      <c r="B194" s="13" t="s">
        <v>45</v>
      </c>
      <c r="C194" s="13" t="s">
        <v>77</v>
      </c>
      <c r="D194" s="13" t="s">
        <v>22</v>
      </c>
      <c r="E194" s="22">
        <v>0</v>
      </c>
      <c r="F194" s="17">
        <v>200</v>
      </c>
      <c r="G194" s="38">
        <f>41.442</f>
        <v>41.442</v>
      </c>
      <c r="H194" s="38">
        <v>9.73989</v>
      </c>
      <c r="I194" s="38">
        <f t="shared" si="7"/>
        <v>23.502461271174173</v>
      </c>
    </row>
    <row r="195" spans="1:9" ht="20.25" customHeight="1" outlineLevel="3">
      <c r="A195" s="33" t="s">
        <v>80</v>
      </c>
      <c r="B195" s="13" t="s">
        <v>45</v>
      </c>
      <c r="C195" s="13" t="s">
        <v>77</v>
      </c>
      <c r="D195" s="13" t="s">
        <v>22</v>
      </c>
      <c r="E195" s="22">
        <v>0</v>
      </c>
      <c r="F195" s="17">
        <v>200</v>
      </c>
      <c r="G195" s="38">
        <f>38.3+51.19+10.7</f>
        <v>100.19</v>
      </c>
      <c r="H195" s="38">
        <v>40.362</v>
      </c>
      <c r="I195" s="38">
        <f t="shared" si="7"/>
        <v>40.285457630502044</v>
      </c>
    </row>
    <row r="196" spans="1:9" ht="31.5" outlineLevel="3">
      <c r="A196" s="33" t="s">
        <v>79</v>
      </c>
      <c r="B196" s="13" t="s">
        <v>45</v>
      </c>
      <c r="C196" s="13" t="s">
        <v>77</v>
      </c>
      <c r="D196" s="13" t="s">
        <v>22</v>
      </c>
      <c r="E196" s="22">
        <v>0</v>
      </c>
      <c r="F196" s="17">
        <v>600</v>
      </c>
      <c r="G196" s="38">
        <f>99600.2-22749.1+1225-528.1-3120.17874+4145.6-471.1-570-20</f>
        <v>77512.32126</v>
      </c>
      <c r="H196" s="38">
        <f>72486.78331-H197</f>
        <v>69119.04446</v>
      </c>
      <c r="I196" s="38">
        <f t="shared" si="7"/>
        <v>89.17168694787712</v>
      </c>
    </row>
    <row r="197" spans="1:9" ht="65.25" customHeight="1" outlineLevel="3">
      <c r="A197" s="33" t="s">
        <v>247</v>
      </c>
      <c r="B197" s="13" t="s">
        <v>45</v>
      </c>
      <c r="C197" s="13" t="s">
        <v>77</v>
      </c>
      <c r="D197" s="13" t="s">
        <v>22</v>
      </c>
      <c r="E197" s="22">
        <v>0</v>
      </c>
      <c r="F197" s="17">
        <v>600</v>
      </c>
      <c r="G197" s="38">
        <f>486.658+3120.17874</f>
        <v>3606.8367399999997</v>
      </c>
      <c r="H197" s="38">
        <v>3367.73885</v>
      </c>
      <c r="I197" s="38">
        <f t="shared" si="7"/>
        <v>93.37098107745238</v>
      </c>
    </row>
    <row r="198" spans="1:9" ht="20.25" customHeight="1" outlineLevel="3">
      <c r="A198" s="33" t="s">
        <v>80</v>
      </c>
      <c r="B198" s="13" t="s">
        <v>45</v>
      </c>
      <c r="C198" s="13" t="s">
        <v>77</v>
      </c>
      <c r="D198" s="13" t="s">
        <v>22</v>
      </c>
      <c r="E198" s="22">
        <v>0</v>
      </c>
      <c r="F198" s="17">
        <v>600</v>
      </c>
      <c r="G198" s="38">
        <f>1665.7+172.6-51.19+225.9-10.7</f>
        <v>2002.31</v>
      </c>
      <c r="H198" s="38">
        <v>1579.61753</v>
      </c>
      <c r="I198" s="38">
        <f t="shared" si="7"/>
        <v>78.88975882855303</v>
      </c>
    </row>
    <row r="199" spans="1:9" ht="33.75" customHeight="1" outlineLevel="3">
      <c r="A199" s="33" t="s">
        <v>189</v>
      </c>
      <c r="B199" s="13" t="s">
        <v>45</v>
      </c>
      <c r="C199" s="13" t="s">
        <v>77</v>
      </c>
      <c r="D199" s="13" t="s">
        <v>22</v>
      </c>
      <c r="E199" s="22">
        <v>0</v>
      </c>
      <c r="F199" s="17">
        <v>600</v>
      </c>
      <c r="G199" s="38">
        <f>147.6+6.88012</f>
        <v>154.48012</v>
      </c>
      <c r="H199" s="38">
        <v>67.8818</v>
      </c>
      <c r="I199" s="38">
        <f t="shared" si="7"/>
        <v>43.942094296664195</v>
      </c>
    </row>
    <row r="200" spans="1:9" ht="33.75" customHeight="1" outlineLevel="3">
      <c r="A200" s="33" t="s">
        <v>233</v>
      </c>
      <c r="B200" s="13" t="s">
        <v>45</v>
      </c>
      <c r="C200" s="13" t="s">
        <v>77</v>
      </c>
      <c r="D200" s="13" t="s">
        <v>22</v>
      </c>
      <c r="E200" s="22">
        <v>0</v>
      </c>
      <c r="F200" s="17">
        <v>600</v>
      </c>
      <c r="G200" s="38">
        <v>0</v>
      </c>
      <c r="H200" s="38">
        <v>0</v>
      </c>
      <c r="I200" s="38">
        <v>0</v>
      </c>
    </row>
    <row r="201" spans="1:9" ht="18.75" customHeight="1" outlineLevel="3">
      <c r="A201" s="33" t="s">
        <v>251</v>
      </c>
      <c r="B201" s="13" t="s">
        <v>45</v>
      </c>
      <c r="C201" s="13" t="s">
        <v>252</v>
      </c>
      <c r="D201" s="13"/>
      <c r="E201" s="22"/>
      <c r="F201" s="17"/>
      <c r="G201" s="38">
        <f>SUM(G209+G211+G207+G202+G205)</f>
        <v>11345.6</v>
      </c>
      <c r="H201" s="38">
        <f>SUM(H209+H211+H207+H202+H205)</f>
        <v>7637.713299999999</v>
      </c>
      <c r="I201" s="38">
        <f t="shared" si="7"/>
        <v>67.3187253208292</v>
      </c>
    </row>
    <row r="202" spans="1:9" ht="54" customHeight="1" outlineLevel="3">
      <c r="A202" s="33" t="s">
        <v>224</v>
      </c>
      <c r="B202" s="13" t="s">
        <v>45</v>
      </c>
      <c r="C202" s="13" t="s">
        <v>252</v>
      </c>
      <c r="D202" s="13" t="s">
        <v>6</v>
      </c>
      <c r="E202" s="22">
        <v>0</v>
      </c>
      <c r="F202" s="17"/>
      <c r="G202" s="38">
        <f>SUM(G203)</f>
        <v>1408.1</v>
      </c>
      <c r="H202" s="38">
        <f>SUM(H203)</f>
        <v>0</v>
      </c>
      <c r="I202" s="38">
        <f t="shared" si="7"/>
        <v>0</v>
      </c>
    </row>
    <row r="203" spans="1:9" ht="43.5" customHeight="1" outlineLevel="3">
      <c r="A203" s="33" t="s">
        <v>240</v>
      </c>
      <c r="B203" s="13" t="s">
        <v>45</v>
      </c>
      <c r="C203" s="13" t="s">
        <v>252</v>
      </c>
      <c r="D203" s="13" t="s">
        <v>6</v>
      </c>
      <c r="E203" s="22">
        <v>3</v>
      </c>
      <c r="F203" s="17"/>
      <c r="G203" s="38">
        <f>SUM(G204:G204)</f>
        <v>1408.1</v>
      </c>
      <c r="H203" s="38">
        <f>SUM(H204:H204)</f>
        <v>0</v>
      </c>
      <c r="I203" s="38">
        <f aca="true" t="shared" si="8" ref="I203:I266">SUM(H203/G203)*100</f>
        <v>0</v>
      </c>
    </row>
    <row r="204" spans="1:9" ht="31.5" customHeight="1" outlineLevel="3">
      <c r="A204" s="33" t="s">
        <v>183</v>
      </c>
      <c r="B204" s="13" t="s">
        <v>45</v>
      </c>
      <c r="C204" s="13" t="s">
        <v>252</v>
      </c>
      <c r="D204" s="13" t="s">
        <v>6</v>
      </c>
      <c r="E204" s="22">
        <v>3</v>
      </c>
      <c r="F204" s="17">
        <v>600</v>
      </c>
      <c r="G204" s="38">
        <f>2500-487.9-354-150-100</f>
        <v>1408.1</v>
      </c>
      <c r="H204" s="38">
        <v>0</v>
      </c>
      <c r="I204" s="38">
        <f t="shared" si="8"/>
        <v>0</v>
      </c>
    </row>
    <row r="205" spans="1:9" ht="31.5" customHeight="1" outlineLevel="3">
      <c r="A205" s="33" t="s">
        <v>271</v>
      </c>
      <c r="B205" s="13" t="s">
        <v>45</v>
      </c>
      <c r="C205" s="13" t="s">
        <v>252</v>
      </c>
      <c r="D205" s="13" t="s">
        <v>270</v>
      </c>
      <c r="E205" s="22">
        <v>0</v>
      </c>
      <c r="F205" s="17"/>
      <c r="G205" s="38">
        <f>SUM(G206)</f>
        <v>40</v>
      </c>
      <c r="H205" s="38">
        <f>SUM(H206)</f>
        <v>40</v>
      </c>
      <c r="I205" s="38">
        <f t="shared" si="8"/>
        <v>100</v>
      </c>
    </row>
    <row r="206" spans="1:9" ht="31.5" customHeight="1" outlineLevel="3">
      <c r="A206" s="33" t="s">
        <v>183</v>
      </c>
      <c r="B206" s="13" t="s">
        <v>45</v>
      </c>
      <c r="C206" s="13" t="s">
        <v>252</v>
      </c>
      <c r="D206" s="13" t="s">
        <v>270</v>
      </c>
      <c r="E206" s="22">
        <v>0</v>
      </c>
      <c r="F206" s="17">
        <v>600</v>
      </c>
      <c r="G206" s="38">
        <f>40</f>
        <v>40</v>
      </c>
      <c r="H206" s="38">
        <v>40</v>
      </c>
      <c r="I206" s="38">
        <f t="shared" si="8"/>
        <v>100</v>
      </c>
    </row>
    <row r="207" spans="1:9" ht="68.25" customHeight="1" outlineLevel="3">
      <c r="A207" s="33" t="s">
        <v>221</v>
      </c>
      <c r="B207" s="13" t="s">
        <v>45</v>
      </c>
      <c r="C207" s="13" t="s">
        <v>252</v>
      </c>
      <c r="D207" s="13" t="s">
        <v>19</v>
      </c>
      <c r="E207" s="22">
        <v>0</v>
      </c>
      <c r="F207" s="17"/>
      <c r="G207" s="38">
        <f>SUM(G208)</f>
        <v>0</v>
      </c>
      <c r="H207" s="38">
        <f>SUM(H208)</f>
        <v>0</v>
      </c>
      <c r="I207" s="38">
        <v>0</v>
      </c>
    </row>
    <row r="208" spans="1:9" ht="36" customHeight="1" outlineLevel="3">
      <c r="A208" s="33" t="s">
        <v>183</v>
      </c>
      <c r="B208" s="13" t="s">
        <v>45</v>
      </c>
      <c r="C208" s="13" t="s">
        <v>252</v>
      </c>
      <c r="D208" s="13" t="s">
        <v>19</v>
      </c>
      <c r="E208" s="22">
        <v>0</v>
      </c>
      <c r="F208" s="17">
        <v>600</v>
      </c>
      <c r="G208" s="38">
        <f>50+25.25-75.25</f>
        <v>0</v>
      </c>
      <c r="H208" s="38">
        <v>0</v>
      </c>
      <c r="I208" s="38">
        <v>0</v>
      </c>
    </row>
    <row r="209" spans="1:9" ht="68.25" customHeight="1" outlineLevel="3">
      <c r="A209" s="33" t="s">
        <v>210</v>
      </c>
      <c r="B209" s="13" t="s">
        <v>45</v>
      </c>
      <c r="C209" s="13" t="s">
        <v>252</v>
      </c>
      <c r="D209" s="13" t="s">
        <v>23</v>
      </c>
      <c r="E209" s="22">
        <v>0</v>
      </c>
      <c r="F209" s="17"/>
      <c r="G209" s="38">
        <f>SUM(G210:G210)</f>
        <v>4300</v>
      </c>
      <c r="H209" s="38">
        <f>SUM(H210:H210)</f>
        <v>3328.21909</v>
      </c>
      <c r="I209" s="38">
        <f t="shared" si="8"/>
        <v>77.40044395348838</v>
      </c>
    </row>
    <row r="210" spans="1:9" ht="36.75" customHeight="1" outlineLevel="3">
      <c r="A210" s="33" t="s">
        <v>183</v>
      </c>
      <c r="B210" s="13" t="s">
        <v>45</v>
      </c>
      <c r="C210" s="13" t="s">
        <v>252</v>
      </c>
      <c r="D210" s="13" t="s">
        <v>23</v>
      </c>
      <c r="E210" s="22">
        <v>0</v>
      </c>
      <c r="F210" s="17">
        <v>600</v>
      </c>
      <c r="G210" s="38">
        <f>4300</f>
        <v>4300</v>
      </c>
      <c r="H210" s="38">
        <v>3328.21909</v>
      </c>
      <c r="I210" s="38">
        <f t="shared" si="8"/>
        <v>77.40044395348838</v>
      </c>
    </row>
    <row r="211" spans="1:9" ht="61.5" customHeight="1" outlineLevel="3">
      <c r="A211" s="33" t="s">
        <v>229</v>
      </c>
      <c r="B211" s="13" t="s">
        <v>45</v>
      </c>
      <c r="C211" s="13" t="s">
        <v>252</v>
      </c>
      <c r="D211" s="13" t="s">
        <v>24</v>
      </c>
      <c r="E211" s="22">
        <v>0</v>
      </c>
      <c r="F211" s="17"/>
      <c r="G211" s="38">
        <f>SUM(G212:G213)</f>
        <v>5597.5</v>
      </c>
      <c r="H211" s="38">
        <f>SUM(H212:H213)</f>
        <v>4269.49421</v>
      </c>
      <c r="I211" s="38">
        <f t="shared" si="8"/>
        <v>76.27501938365342</v>
      </c>
    </row>
    <row r="212" spans="1:9" ht="36.75" customHeight="1" outlineLevel="3">
      <c r="A212" s="33" t="s">
        <v>183</v>
      </c>
      <c r="B212" s="13" t="s">
        <v>45</v>
      </c>
      <c r="C212" s="13" t="s">
        <v>252</v>
      </c>
      <c r="D212" s="13" t="s">
        <v>24</v>
      </c>
      <c r="E212" s="22">
        <v>0</v>
      </c>
      <c r="F212" s="17">
        <v>600</v>
      </c>
      <c r="G212" s="38">
        <f>4100+482.5+1000</f>
        <v>5582.5</v>
      </c>
      <c r="H212" s="38">
        <v>4260.49589</v>
      </c>
      <c r="I212" s="38">
        <f t="shared" si="8"/>
        <v>76.31877993730409</v>
      </c>
    </row>
    <row r="213" spans="1:9" ht="36.75" customHeight="1" outlineLevel="3">
      <c r="A213" s="33" t="s">
        <v>189</v>
      </c>
      <c r="B213" s="13" t="s">
        <v>45</v>
      </c>
      <c r="C213" s="13" t="s">
        <v>252</v>
      </c>
      <c r="D213" s="13" t="s">
        <v>24</v>
      </c>
      <c r="E213" s="22">
        <v>0</v>
      </c>
      <c r="F213" s="17">
        <v>600</v>
      </c>
      <c r="G213" s="38">
        <f>15</f>
        <v>15</v>
      </c>
      <c r="H213" s="38">
        <v>8.99832</v>
      </c>
      <c r="I213" s="38">
        <f t="shared" si="8"/>
        <v>59.9888</v>
      </c>
    </row>
    <row r="214" spans="1:9" ht="18.75" customHeight="1" outlineLevel="1">
      <c r="A214" s="36" t="s">
        <v>84</v>
      </c>
      <c r="B214" s="13" t="s">
        <v>45</v>
      </c>
      <c r="C214" s="13" t="s">
        <v>83</v>
      </c>
      <c r="D214" s="13" t="s">
        <v>0</v>
      </c>
      <c r="E214" s="22" t="s">
        <v>0</v>
      </c>
      <c r="F214" s="17"/>
      <c r="G214" s="38">
        <f>SUM(G218+G227+G230+G232+G235+G215)</f>
        <v>8121.75648</v>
      </c>
      <c r="H214" s="38">
        <f>SUM(H218+H227+H230+H232+H235+H215)</f>
        <v>6808.64111</v>
      </c>
      <c r="I214" s="38">
        <f t="shared" si="8"/>
        <v>83.83212580636251</v>
      </c>
    </row>
    <row r="215" spans="1:9" ht="43.5" customHeight="1" outlineLevel="1">
      <c r="A215" s="33" t="s">
        <v>224</v>
      </c>
      <c r="B215" s="13" t="s">
        <v>45</v>
      </c>
      <c r="C215" s="13" t="s">
        <v>83</v>
      </c>
      <c r="D215" s="13" t="s">
        <v>6</v>
      </c>
      <c r="E215" s="22">
        <v>0</v>
      </c>
      <c r="F215" s="17"/>
      <c r="G215" s="38">
        <f>SUM(G216)</f>
        <v>839.6878</v>
      </c>
      <c r="H215" s="38">
        <f>SUM(H216)</f>
        <v>823.34491</v>
      </c>
      <c r="I215" s="38">
        <f t="shared" si="8"/>
        <v>98.05369448025802</v>
      </c>
    </row>
    <row r="216" spans="1:9" ht="48" customHeight="1" outlineLevel="1">
      <c r="A216" s="33" t="s">
        <v>240</v>
      </c>
      <c r="B216" s="13" t="s">
        <v>45</v>
      </c>
      <c r="C216" s="13" t="s">
        <v>83</v>
      </c>
      <c r="D216" s="13" t="s">
        <v>6</v>
      </c>
      <c r="E216" s="22">
        <v>3</v>
      </c>
      <c r="F216" s="17"/>
      <c r="G216" s="38">
        <f>SUM(G217)</f>
        <v>839.6878</v>
      </c>
      <c r="H216" s="38">
        <f>SUM(H217)</f>
        <v>823.34491</v>
      </c>
      <c r="I216" s="38">
        <f t="shared" si="8"/>
        <v>98.05369448025802</v>
      </c>
    </row>
    <row r="217" spans="1:9" ht="38.25" customHeight="1" outlineLevel="1">
      <c r="A217" s="33" t="s">
        <v>183</v>
      </c>
      <c r="B217" s="13" t="s">
        <v>45</v>
      </c>
      <c r="C217" s="13" t="s">
        <v>83</v>
      </c>
      <c r="D217" s="13" t="s">
        <v>6</v>
      </c>
      <c r="E217" s="22">
        <v>3</v>
      </c>
      <c r="F217" s="17">
        <v>600</v>
      </c>
      <c r="G217" s="38">
        <f>209.6878+300+330</f>
        <v>839.6878</v>
      </c>
      <c r="H217" s="38">
        <v>823.34491</v>
      </c>
      <c r="I217" s="38">
        <f t="shared" si="8"/>
        <v>98.05369448025802</v>
      </c>
    </row>
    <row r="218" spans="1:9" ht="80.25" customHeight="1" outlineLevel="1">
      <c r="A218" s="36" t="s">
        <v>191</v>
      </c>
      <c r="B218" s="13" t="s">
        <v>45</v>
      </c>
      <c r="C218" s="13" t="s">
        <v>83</v>
      </c>
      <c r="D218" s="13" t="s">
        <v>29</v>
      </c>
      <c r="E218" s="22">
        <v>0</v>
      </c>
      <c r="F218" s="17"/>
      <c r="G218" s="38">
        <f>SUM(G219+G221+G223)</f>
        <v>338</v>
      </c>
      <c r="H218" s="38">
        <f>SUM(H219+H221+H223)</f>
        <v>333.2939</v>
      </c>
      <c r="I218" s="38">
        <f t="shared" si="8"/>
        <v>98.60766272189349</v>
      </c>
    </row>
    <row r="219" spans="1:9" ht="32.25" customHeight="1" outlineLevel="1">
      <c r="A219" s="33" t="s">
        <v>192</v>
      </c>
      <c r="B219" s="13" t="s">
        <v>45</v>
      </c>
      <c r="C219" s="13" t="s">
        <v>83</v>
      </c>
      <c r="D219" s="13" t="s">
        <v>29</v>
      </c>
      <c r="E219" s="22">
        <v>1</v>
      </c>
      <c r="F219" s="17"/>
      <c r="G219" s="38">
        <f>SUM(G220)</f>
        <v>45</v>
      </c>
      <c r="H219" s="38">
        <f>SUM(H220)</f>
        <v>45</v>
      </c>
      <c r="I219" s="38">
        <f t="shared" si="8"/>
        <v>100</v>
      </c>
    </row>
    <row r="220" spans="1:9" ht="33.75" customHeight="1" outlineLevel="1">
      <c r="A220" s="33" t="s">
        <v>116</v>
      </c>
      <c r="B220" s="13" t="s">
        <v>45</v>
      </c>
      <c r="C220" s="13" t="s">
        <v>83</v>
      </c>
      <c r="D220" s="13" t="s">
        <v>29</v>
      </c>
      <c r="E220" s="22">
        <v>1</v>
      </c>
      <c r="F220" s="17">
        <v>200</v>
      </c>
      <c r="G220" s="38">
        <f>50-5</f>
        <v>45</v>
      </c>
      <c r="H220" s="38">
        <v>45</v>
      </c>
      <c r="I220" s="38">
        <f t="shared" si="8"/>
        <v>100</v>
      </c>
    </row>
    <row r="221" spans="1:9" ht="33" customHeight="1" outlineLevel="1">
      <c r="A221" s="33" t="s">
        <v>193</v>
      </c>
      <c r="B221" s="13" t="s">
        <v>45</v>
      </c>
      <c r="C221" s="13" t="s">
        <v>83</v>
      </c>
      <c r="D221" s="13" t="s">
        <v>29</v>
      </c>
      <c r="E221" s="22">
        <v>2</v>
      </c>
      <c r="F221" s="17"/>
      <c r="G221" s="38">
        <f>SUM(G222)</f>
        <v>238</v>
      </c>
      <c r="H221" s="38">
        <f>SUM(H222)</f>
        <v>236.4024</v>
      </c>
      <c r="I221" s="38">
        <f t="shared" si="8"/>
        <v>99.32873949579832</v>
      </c>
    </row>
    <row r="222" spans="1:9" ht="33" customHeight="1" outlineLevel="1">
      <c r="A222" s="33" t="s">
        <v>116</v>
      </c>
      <c r="B222" s="13" t="s">
        <v>45</v>
      </c>
      <c r="C222" s="13" t="s">
        <v>83</v>
      </c>
      <c r="D222" s="13" t="s">
        <v>29</v>
      </c>
      <c r="E222" s="22">
        <v>2</v>
      </c>
      <c r="F222" s="17">
        <v>200</v>
      </c>
      <c r="G222" s="38">
        <f>200+38</f>
        <v>238</v>
      </c>
      <c r="H222" s="38">
        <v>236.4024</v>
      </c>
      <c r="I222" s="38">
        <f t="shared" si="8"/>
        <v>99.32873949579832</v>
      </c>
    </row>
    <row r="223" spans="1:9" ht="46.5" customHeight="1" outlineLevel="1">
      <c r="A223" s="33" t="s">
        <v>194</v>
      </c>
      <c r="B223" s="13" t="s">
        <v>45</v>
      </c>
      <c r="C223" s="13" t="s">
        <v>83</v>
      </c>
      <c r="D223" s="13" t="s">
        <v>29</v>
      </c>
      <c r="E223" s="22">
        <v>3</v>
      </c>
      <c r="F223" s="17"/>
      <c r="G223" s="38">
        <f>SUM(G224:G226)</f>
        <v>55</v>
      </c>
      <c r="H223" s="38">
        <f>SUM(H224:H226)</f>
        <v>51.8915</v>
      </c>
      <c r="I223" s="38">
        <f t="shared" si="8"/>
        <v>94.34818181818181</v>
      </c>
    </row>
    <row r="224" spans="1:9" ht="34.5" customHeight="1" outlineLevel="1">
      <c r="A224" s="33" t="s">
        <v>116</v>
      </c>
      <c r="B224" s="13" t="s">
        <v>45</v>
      </c>
      <c r="C224" s="13" t="s">
        <v>83</v>
      </c>
      <c r="D224" s="13" t="s">
        <v>29</v>
      </c>
      <c r="E224" s="22">
        <v>3</v>
      </c>
      <c r="F224" s="17">
        <v>200</v>
      </c>
      <c r="G224" s="38">
        <f>50-10.8915</f>
        <v>39.1085</v>
      </c>
      <c r="H224" s="38">
        <v>38</v>
      </c>
      <c r="I224" s="38">
        <f t="shared" si="8"/>
        <v>97.16557781556439</v>
      </c>
    </row>
    <row r="225" spans="1:9" ht="34.5" customHeight="1" outlineLevel="1">
      <c r="A225" s="33" t="s">
        <v>116</v>
      </c>
      <c r="B225" s="13" t="s">
        <v>45</v>
      </c>
      <c r="C225" s="13" t="s">
        <v>83</v>
      </c>
      <c r="D225" s="13" t="s">
        <v>29</v>
      </c>
      <c r="E225" s="22">
        <v>3</v>
      </c>
      <c r="F225" s="17">
        <v>200</v>
      </c>
      <c r="G225" s="38">
        <v>2</v>
      </c>
      <c r="H225" s="38">
        <v>0</v>
      </c>
      <c r="I225" s="38">
        <f t="shared" si="8"/>
        <v>0</v>
      </c>
    </row>
    <row r="226" spans="1:9" ht="18" customHeight="1" outlineLevel="1">
      <c r="A226" s="33" t="s">
        <v>184</v>
      </c>
      <c r="B226" s="13" t="s">
        <v>45</v>
      </c>
      <c r="C226" s="13" t="s">
        <v>83</v>
      </c>
      <c r="D226" s="13" t="s">
        <v>29</v>
      </c>
      <c r="E226" s="22">
        <v>3</v>
      </c>
      <c r="F226" s="17">
        <v>300</v>
      </c>
      <c r="G226" s="38">
        <f>13.8915</f>
        <v>13.8915</v>
      </c>
      <c r="H226" s="38">
        <v>13.8915</v>
      </c>
      <c r="I226" s="38">
        <f t="shared" si="8"/>
        <v>100</v>
      </c>
    </row>
    <row r="227" spans="1:9" ht="55.5" customHeight="1" outlineLevel="1">
      <c r="A227" s="33" t="s">
        <v>225</v>
      </c>
      <c r="B227" s="13" t="s">
        <v>45</v>
      </c>
      <c r="C227" s="13" t="s">
        <v>83</v>
      </c>
      <c r="D227" s="13" t="s">
        <v>7</v>
      </c>
      <c r="E227" s="22">
        <v>0</v>
      </c>
      <c r="F227" s="17"/>
      <c r="G227" s="38">
        <f>SUM(G228:G229)</f>
        <v>297.62368</v>
      </c>
      <c r="H227" s="38">
        <f>SUM(H228:H229)</f>
        <v>297.62368</v>
      </c>
      <c r="I227" s="38">
        <f t="shared" si="8"/>
        <v>100</v>
      </c>
    </row>
    <row r="228" spans="1:9" ht="34.5" customHeight="1" outlineLevel="1">
      <c r="A228" s="33" t="s">
        <v>116</v>
      </c>
      <c r="B228" s="13" t="s">
        <v>45</v>
      </c>
      <c r="C228" s="13" t="s">
        <v>83</v>
      </c>
      <c r="D228" s="13" t="s">
        <v>7</v>
      </c>
      <c r="E228" s="22">
        <v>0</v>
      </c>
      <c r="F228" s="17">
        <v>200</v>
      </c>
      <c r="G228" s="38">
        <f>200+100-300</f>
        <v>0</v>
      </c>
      <c r="H228" s="38">
        <v>0</v>
      </c>
      <c r="I228" s="38">
        <v>0</v>
      </c>
    </row>
    <row r="229" spans="1:9" ht="34.5" customHeight="1" outlineLevel="1">
      <c r="A229" s="33" t="s">
        <v>183</v>
      </c>
      <c r="B229" s="13" t="s">
        <v>45</v>
      </c>
      <c r="C229" s="13" t="s">
        <v>83</v>
      </c>
      <c r="D229" s="13" t="s">
        <v>7</v>
      </c>
      <c r="E229" s="22">
        <v>0</v>
      </c>
      <c r="F229" s="17">
        <v>600</v>
      </c>
      <c r="G229" s="38">
        <f>200+100-2.37632</f>
        <v>297.62368</v>
      </c>
      <c r="H229" s="38">
        <v>297.62368</v>
      </c>
      <c r="I229" s="38">
        <f t="shared" si="8"/>
        <v>100</v>
      </c>
    </row>
    <row r="230" spans="1:9" ht="50.25" customHeight="1" outlineLevel="3">
      <c r="A230" s="36" t="s">
        <v>211</v>
      </c>
      <c r="B230" s="13" t="s">
        <v>45</v>
      </c>
      <c r="C230" s="13" t="s">
        <v>83</v>
      </c>
      <c r="D230" s="13" t="s">
        <v>25</v>
      </c>
      <c r="E230" s="22">
        <v>0</v>
      </c>
      <c r="F230" s="17"/>
      <c r="G230" s="38">
        <f>SUM(G231)</f>
        <v>3567.5</v>
      </c>
      <c r="H230" s="38">
        <f>SUM(H231)</f>
        <v>2943.85397</v>
      </c>
      <c r="I230" s="38">
        <f t="shared" si="8"/>
        <v>82.51868170988087</v>
      </c>
    </row>
    <row r="231" spans="1:9" ht="32.25" customHeight="1" outlineLevel="3">
      <c r="A231" s="33" t="s">
        <v>183</v>
      </c>
      <c r="B231" s="13" t="s">
        <v>45</v>
      </c>
      <c r="C231" s="13" t="s">
        <v>83</v>
      </c>
      <c r="D231" s="13" t="s">
        <v>25</v>
      </c>
      <c r="E231" s="22">
        <v>0</v>
      </c>
      <c r="F231" s="17">
        <v>600</v>
      </c>
      <c r="G231" s="38">
        <f>3100+392.5+30+45</f>
        <v>3567.5</v>
      </c>
      <c r="H231" s="38">
        <v>2943.85397</v>
      </c>
      <c r="I231" s="38">
        <f t="shared" si="8"/>
        <v>82.51868170988087</v>
      </c>
    </row>
    <row r="232" spans="1:9" s="11" customFormat="1" ht="78.75" customHeight="1" outlineLevel="2">
      <c r="A232" s="36" t="s">
        <v>226</v>
      </c>
      <c r="B232" s="13" t="s">
        <v>45</v>
      </c>
      <c r="C232" s="13" t="s">
        <v>83</v>
      </c>
      <c r="D232" s="13" t="s">
        <v>26</v>
      </c>
      <c r="E232" s="22">
        <v>0</v>
      </c>
      <c r="F232" s="17"/>
      <c r="G232" s="38">
        <f>SUM(G233:G234)</f>
        <v>1650</v>
      </c>
      <c r="H232" s="38">
        <f>SUM(H233:H234)</f>
        <v>1513.2602</v>
      </c>
      <c r="I232" s="38">
        <f t="shared" si="8"/>
        <v>91.71273939393939</v>
      </c>
    </row>
    <row r="233" spans="1:9" s="11" customFormat="1" ht="39" customHeight="1" outlineLevel="2">
      <c r="A233" s="33" t="s">
        <v>183</v>
      </c>
      <c r="B233" s="13" t="s">
        <v>45</v>
      </c>
      <c r="C233" s="13" t="s">
        <v>83</v>
      </c>
      <c r="D233" s="13" t="s">
        <v>26</v>
      </c>
      <c r="E233" s="22">
        <v>0</v>
      </c>
      <c r="F233" s="17">
        <v>600</v>
      </c>
      <c r="G233" s="38">
        <f>1600+50</f>
        <v>1650</v>
      </c>
      <c r="H233" s="38">
        <v>1513.2602</v>
      </c>
      <c r="I233" s="38">
        <f t="shared" si="8"/>
        <v>91.71273939393939</v>
      </c>
    </row>
    <row r="234" spans="1:9" s="11" customFormat="1" ht="50.25" customHeight="1" outlineLevel="2">
      <c r="A234" s="36" t="s">
        <v>176</v>
      </c>
      <c r="B234" s="13" t="s">
        <v>45</v>
      </c>
      <c r="C234" s="13" t="s">
        <v>83</v>
      </c>
      <c r="D234" s="13" t="s">
        <v>26</v>
      </c>
      <c r="E234" s="22">
        <v>0</v>
      </c>
      <c r="F234" s="17">
        <v>600</v>
      </c>
      <c r="G234" s="38">
        <v>0</v>
      </c>
      <c r="H234" s="38">
        <v>0</v>
      </c>
      <c r="I234" s="38">
        <v>0</v>
      </c>
    </row>
    <row r="235" spans="1:9" s="11" customFormat="1" ht="33.75" customHeight="1" outlineLevel="2">
      <c r="A235" s="36" t="s">
        <v>195</v>
      </c>
      <c r="B235" s="13" t="s">
        <v>45</v>
      </c>
      <c r="C235" s="13" t="s">
        <v>83</v>
      </c>
      <c r="D235" s="13" t="s">
        <v>16</v>
      </c>
      <c r="E235" s="22">
        <v>0</v>
      </c>
      <c r="F235" s="17"/>
      <c r="G235" s="38">
        <f>SUM(G236)</f>
        <v>1428.9450000000002</v>
      </c>
      <c r="H235" s="38">
        <f>SUM(H236)</f>
        <v>897.26445</v>
      </c>
      <c r="I235" s="38">
        <f t="shared" si="8"/>
        <v>62.792091368107236</v>
      </c>
    </row>
    <row r="236" spans="1:9" s="11" customFormat="1" ht="37.5" customHeight="1" outlineLevel="2">
      <c r="A236" s="33" t="s">
        <v>182</v>
      </c>
      <c r="B236" s="13" t="s">
        <v>45</v>
      </c>
      <c r="C236" s="13" t="s">
        <v>83</v>
      </c>
      <c r="D236" s="13" t="s">
        <v>16</v>
      </c>
      <c r="E236" s="22">
        <v>0</v>
      </c>
      <c r="F236" s="17"/>
      <c r="G236" s="38">
        <f>SUM(G237:G238)</f>
        <v>1428.9450000000002</v>
      </c>
      <c r="H236" s="38">
        <f>SUM(H237:H238)</f>
        <v>897.26445</v>
      </c>
      <c r="I236" s="38">
        <f t="shared" si="8"/>
        <v>62.792091368107236</v>
      </c>
    </row>
    <row r="237" spans="1:9" s="11" customFormat="1" ht="51.75" customHeight="1" outlineLevel="2">
      <c r="A237" s="36" t="s">
        <v>196</v>
      </c>
      <c r="B237" s="13" t="s">
        <v>45</v>
      </c>
      <c r="C237" s="13" t="s">
        <v>83</v>
      </c>
      <c r="D237" s="13" t="s">
        <v>16</v>
      </c>
      <c r="E237" s="22">
        <v>0</v>
      </c>
      <c r="F237" s="17">
        <v>600</v>
      </c>
      <c r="G237" s="38">
        <f>506.6+789.7+64.6</f>
        <v>1360.9</v>
      </c>
      <c r="H237" s="38">
        <v>897.26445</v>
      </c>
      <c r="I237" s="38">
        <f t="shared" si="8"/>
        <v>65.9316959365126</v>
      </c>
    </row>
    <row r="238" spans="1:9" s="11" customFormat="1" ht="35.25" customHeight="1" outlineLevel="2">
      <c r="A238" s="33" t="s">
        <v>183</v>
      </c>
      <c r="B238" s="13" t="s">
        <v>45</v>
      </c>
      <c r="C238" s="13" t="s">
        <v>83</v>
      </c>
      <c r="D238" s="13" t="s">
        <v>16</v>
      </c>
      <c r="E238" s="22">
        <v>0</v>
      </c>
      <c r="F238" s="17">
        <v>600</v>
      </c>
      <c r="G238" s="38">
        <f>25.4+39.49+3.155</f>
        <v>68.045</v>
      </c>
      <c r="H238" s="38">
        <v>0</v>
      </c>
      <c r="I238" s="38">
        <f t="shared" si="8"/>
        <v>0</v>
      </c>
    </row>
    <row r="239" spans="1:9" s="11" customFormat="1" ht="15.75" outlineLevel="2">
      <c r="A239" s="33" t="s">
        <v>85</v>
      </c>
      <c r="B239" s="13" t="s">
        <v>45</v>
      </c>
      <c r="C239" s="13" t="s">
        <v>86</v>
      </c>
      <c r="D239" s="13"/>
      <c r="E239" s="22"/>
      <c r="F239" s="17"/>
      <c r="G239" s="38">
        <f>SUM(G242+G240)</f>
        <v>650</v>
      </c>
      <c r="H239" s="38">
        <f>SUM(H242+H240)</f>
        <v>532.8680400000001</v>
      </c>
      <c r="I239" s="38">
        <f t="shared" si="8"/>
        <v>81.97969846153848</v>
      </c>
    </row>
    <row r="240" spans="1:9" s="11" customFormat="1" ht="94.5" customHeight="1" outlineLevel="2">
      <c r="A240" s="33" t="s">
        <v>244</v>
      </c>
      <c r="B240" s="13" t="s">
        <v>45</v>
      </c>
      <c r="C240" s="13" t="s">
        <v>86</v>
      </c>
      <c r="D240" s="13" t="s">
        <v>243</v>
      </c>
      <c r="E240" s="22">
        <v>0</v>
      </c>
      <c r="F240" s="23"/>
      <c r="G240" s="38">
        <f>SUM(G241)</f>
        <v>25</v>
      </c>
      <c r="H240" s="38">
        <f>SUM(H241)</f>
        <v>0</v>
      </c>
      <c r="I240" s="38">
        <f t="shared" si="8"/>
        <v>0</v>
      </c>
    </row>
    <row r="241" spans="1:9" s="11" customFormat="1" ht="18.75" customHeight="1" outlineLevel="2">
      <c r="A241" s="33" t="s">
        <v>184</v>
      </c>
      <c r="B241" s="13" t="s">
        <v>45</v>
      </c>
      <c r="C241" s="13" t="s">
        <v>86</v>
      </c>
      <c r="D241" s="13" t="s">
        <v>243</v>
      </c>
      <c r="E241" s="22">
        <v>0</v>
      </c>
      <c r="F241" s="23">
        <v>300</v>
      </c>
      <c r="G241" s="38">
        <v>25</v>
      </c>
      <c r="H241" s="38">
        <v>0</v>
      </c>
      <c r="I241" s="38">
        <f t="shared" si="8"/>
        <v>0</v>
      </c>
    </row>
    <row r="242" spans="1:9" ht="68.25" customHeight="1" outlineLevel="3">
      <c r="A242" s="36" t="s">
        <v>227</v>
      </c>
      <c r="B242" s="13" t="s">
        <v>45</v>
      </c>
      <c r="C242" s="13" t="s">
        <v>86</v>
      </c>
      <c r="D242" s="13" t="s">
        <v>27</v>
      </c>
      <c r="E242" s="22">
        <v>0</v>
      </c>
      <c r="F242" s="17"/>
      <c r="G242" s="38">
        <f>SUM(G243:G245)</f>
        <v>625</v>
      </c>
      <c r="H242" s="38">
        <f>SUM(H243:H245)</f>
        <v>532.8680400000001</v>
      </c>
      <c r="I242" s="38">
        <f t="shared" si="8"/>
        <v>85.25888640000001</v>
      </c>
    </row>
    <row r="243" spans="1:9" ht="77.25" customHeight="1" outlineLevel="2">
      <c r="A243" s="33" t="s">
        <v>115</v>
      </c>
      <c r="B243" s="13" t="s">
        <v>45</v>
      </c>
      <c r="C243" s="13" t="s">
        <v>86</v>
      </c>
      <c r="D243" s="13" t="s">
        <v>27</v>
      </c>
      <c r="E243" s="22">
        <v>0</v>
      </c>
      <c r="F243" s="17">
        <v>100</v>
      </c>
      <c r="G243" s="38">
        <f>600-35</f>
        <v>565</v>
      </c>
      <c r="H243" s="38">
        <v>479.35976</v>
      </c>
      <c r="I243" s="38">
        <f t="shared" si="8"/>
        <v>84.8424353982301</v>
      </c>
    </row>
    <row r="244" spans="1:9" ht="31.5" outlineLevel="3">
      <c r="A244" s="33" t="s">
        <v>116</v>
      </c>
      <c r="B244" s="13" t="s">
        <v>45</v>
      </c>
      <c r="C244" s="13" t="s">
        <v>86</v>
      </c>
      <c r="D244" s="13" t="s">
        <v>27</v>
      </c>
      <c r="E244" s="22">
        <v>0</v>
      </c>
      <c r="F244" s="17">
        <v>200</v>
      </c>
      <c r="G244" s="38">
        <f>24.8+35</f>
        <v>59.8</v>
      </c>
      <c r="H244" s="38">
        <v>53.5</v>
      </c>
      <c r="I244" s="38">
        <f t="shared" si="8"/>
        <v>89.46488294314382</v>
      </c>
    </row>
    <row r="245" spans="1:9" ht="15.75" outlineLevel="3">
      <c r="A245" s="33" t="s">
        <v>167</v>
      </c>
      <c r="B245" s="13" t="s">
        <v>45</v>
      </c>
      <c r="C245" s="13" t="s">
        <v>86</v>
      </c>
      <c r="D245" s="13" t="s">
        <v>27</v>
      </c>
      <c r="E245" s="22">
        <v>0</v>
      </c>
      <c r="F245" s="17">
        <v>800</v>
      </c>
      <c r="G245" s="38">
        <v>0.2</v>
      </c>
      <c r="H245" s="38">
        <v>0.00828</v>
      </c>
      <c r="I245" s="38">
        <f t="shared" si="8"/>
        <v>4.139999999999999</v>
      </c>
    </row>
    <row r="246" spans="1:9" ht="15.75" outlineLevel="1">
      <c r="A246" s="33" t="s">
        <v>87</v>
      </c>
      <c r="B246" s="13" t="s">
        <v>45</v>
      </c>
      <c r="C246" s="13" t="s">
        <v>134</v>
      </c>
      <c r="D246" s="13"/>
      <c r="E246" s="22"/>
      <c r="F246" s="17"/>
      <c r="G246" s="38">
        <f>SUM(G247+G272+G274)</f>
        <v>17330.702</v>
      </c>
      <c r="H246" s="38">
        <f>SUM(H247+H272+H274)</f>
        <v>10854.28324</v>
      </c>
      <c r="I246" s="38">
        <f t="shared" si="8"/>
        <v>62.630372618489424</v>
      </c>
    </row>
    <row r="247" spans="1:9" ht="15.75" outlineLevel="1">
      <c r="A247" s="33" t="s">
        <v>135</v>
      </c>
      <c r="B247" s="13" t="s">
        <v>45</v>
      </c>
      <c r="C247" s="13" t="s">
        <v>93</v>
      </c>
      <c r="D247" s="13"/>
      <c r="E247" s="22"/>
      <c r="F247" s="17"/>
      <c r="G247" s="38">
        <f>SUM(G248+G251+G256+G258+G260+G263+G266+G268+G270)</f>
        <v>16175.702000000001</v>
      </c>
      <c r="H247" s="38">
        <f>SUM(H248+H251+H256+H258+H260+H263+H266+H268+H270)</f>
        <v>9924.4612</v>
      </c>
      <c r="I247" s="38">
        <f t="shared" si="8"/>
        <v>61.35412979294499</v>
      </c>
    </row>
    <row r="248" spans="1:9" ht="45.75" customHeight="1" outlineLevel="1">
      <c r="A248" s="33" t="s">
        <v>224</v>
      </c>
      <c r="B248" s="13" t="s">
        <v>45</v>
      </c>
      <c r="C248" s="13" t="s">
        <v>93</v>
      </c>
      <c r="D248" s="13" t="s">
        <v>6</v>
      </c>
      <c r="E248" s="22">
        <v>0</v>
      </c>
      <c r="F248" s="17"/>
      <c r="G248" s="38">
        <f>SUM(G249)</f>
        <v>3368.532</v>
      </c>
      <c r="H248" s="38">
        <f>SUM(H249)</f>
        <v>0</v>
      </c>
      <c r="I248" s="38">
        <f t="shared" si="8"/>
        <v>0</v>
      </c>
    </row>
    <row r="249" spans="1:9" ht="47.25" outlineLevel="1">
      <c r="A249" s="33" t="s">
        <v>240</v>
      </c>
      <c r="B249" s="13" t="s">
        <v>45</v>
      </c>
      <c r="C249" s="13" t="s">
        <v>93</v>
      </c>
      <c r="D249" s="13" t="s">
        <v>6</v>
      </c>
      <c r="E249" s="22">
        <v>3</v>
      </c>
      <c r="F249" s="17"/>
      <c r="G249" s="38">
        <f>SUM(G250:G250)</f>
        <v>3368.532</v>
      </c>
      <c r="H249" s="38">
        <f>SUM(H250:H250)</f>
        <v>0</v>
      </c>
      <c r="I249" s="38">
        <f t="shared" si="8"/>
        <v>0</v>
      </c>
    </row>
    <row r="250" spans="1:9" ht="29.25" customHeight="1" outlineLevel="1">
      <c r="A250" s="33" t="s">
        <v>183</v>
      </c>
      <c r="B250" s="13" t="s">
        <v>45</v>
      </c>
      <c r="C250" s="13" t="s">
        <v>93</v>
      </c>
      <c r="D250" s="13" t="s">
        <v>6</v>
      </c>
      <c r="E250" s="22">
        <v>3</v>
      </c>
      <c r="F250" s="17">
        <v>600</v>
      </c>
      <c r="G250" s="38">
        <f>3213-873+1028.532</f>
        <v>3368.532</v>
      </c>
      <c r="H250" s="38">
        <v>0</v>
      </c>
      <c r="I250" s="38">
        <f t="shared" si="8"/>
        <v>0</v>
      </c>
    </row>
    <row r="251" spans="1:9" ht="51" customHeight="1" outlineLevel="1">
      <c r="A251" s="33" t="s">
        <v>268</v>
      </c>
      <c r="B251" s="13" t="s">
        <v>45</v>
      </c>
      <c r="C251" s="13" t="s">
        <v>93</v>
      </c>
      <c r="D251" s="13" t="s">
        <v>267</v>
      </c>
      <c r="E251" s="22">
        <v>0</v>
      </c>
      <c r="F251" s="23"/>
      <c r="G251" s="38">
        <f>SUM(G252:G255)</f>
        <v>1388.67</v>
      </c>
      <c r="H251" s="38">
        <f>SUM(H252:H255)</f>
        <v>1038.67</v>
      </c>
      <c r="I251" s="38">
        <f t="shared" si="8"/>
        <v>74.79602785398978</v>
      </c>
    </row>
    <row r="252" spans="1:9" ht="33" customHeight="1" outlineLevel="1">
      <c r="A252" s="33" t="s">
        <v>183</v>
      </c>
      <c r="B252" s="13" t="s">
        <v>45</v>
      </c>
      <c r="C252" s="13" t="s">
        <v>93</v>
      </c>
      <c r="D252" s="13" t="s">
        <v>267</v>
      </c>
      <c r="E252" s="22">
        <v>0</v>
      </c>
      <c r="F252" s="23">
        <v>600</v>
      </c>
      <c r="G252" s="38">
        <v>23.82</v>
      </c>
      <c r="H252" s="38">
        <v>0</v>
      </c>
      <c r="I252" s="38">
        <f t="shared" si="8"/>
        <v>0</v>
      </c>
    </row>
    <row r="253" spans="1:9" ht="16.5" customHeight="1" outlineLevel="1">
      <c r="A253" s="33" t="s">
        <v>185</v>
      </c>
      <c r="B253" s="13" t="s">
        <v>45</v>
      </c>
      <c r="C253" s="13" t="s">
        <v>93</v>
      </c>
      <c r="D253" s="13" t="s">
        <v>267</v>
      </c>
      <c r="E253" s="22">
        <v>0</v>
      </c>
      <c r="F253" s="23">
        <v>500</v>
      </c>
      <c r="G253" s="38">
        <f>42.31</f>
        <v>42.31</v>
      </c>
      <c r="H253" s="38">
        <v>42.31</v>
      </c>
      <c r="I253" s="38">
        <f t="shared" si="8"/>
        <v>100</v>
      </c>
    </row>
    <row r="254" spans="1:9" ht="47.25" customHeight="1" outlineLevel="1">
      <c r="A254" s="33" t="s">
        <v>265</v>
      </c>
      <c r="B254" s="13" t="s">
        <v>45</v>
      </c>
      <c r="C254" s="13" t="s">
        <v>93</v>
      </c>
      <c r="D254" s="13" t="s">
        <v>267</v>
      </c>
      <c r="E254" s="22">
        <v>0</v>
      </c>
      <c r="F254" s="23">
        <v>600</v>
      </c>
      <c r="G254" s="38">
        <v>476.18</v>
      </c>
      <c r="H254" s="38">
        <v>150</v>
      </c>
      <c r="I254" s="38">
        <f t="shared" si="8"/>
        <v>31.500693015246334</v>
      </c>
    </row>
    <row r="255" spans="1:9" ht="19.5" customHeight="1" outlineLevel="1">
      <c r="A255" s="33" t="s">
        <v>185</v>
      </c>
      <c r="B255" s="13" t="s">
        <v>45</v>
      </c>
      <c r="C255" s="13" t="s">
        <v>93</v>
      </c>
      <c r="D255" s="13" t="s">
        <v>267</v>
      </c>
      <c r="E255" s="22">
        <v>0</v>
      </c>
      <c r="F255" s="23">
        <v>500</v>
      </c>
      <c r="G255" s="38">
        <v>846.36</v>
      </c>
      <c r="H255" s="38">
        <v>846.36</v>
      </c>
      <c r="I255" s="38">
        <f t="shared" si="8"/>
        <v>100</v>
      </c>
    </row>
    <row r="256" spans="1:9" ht="43.5" customHeight="1" outlineLevel="1">
      <c r="A256" s="33" t="s">
        <v>207</v>
      </c>
      <c r="B256" s="13" t="s">
        <v>45</v>
      </c>
      <c r="C256" s="13" t="s">
        <v>93</v>
      </c>
      <c r="D256" s="13" t="s">
        <v>5</v>
      </c>
      <c r="E256" s="22">
        <v>0</v>
      </c>
      <c r="F256" s="23"/>
      <c r="G256" s="38">
        <f>SUM(G257)</f>
        <v>100</v>
      </c>
      <c r="H256" s="38">
        <f>SUM(H257)</f>
        <v>26.58</v>
      </c>
      <c r="I256" s="38">
        <f t="shared" si="8"/>
        <v>26.58</v>
      </c>
    </row>
    <row r="257" spans="1:9" ht="33" customHeight="1" outlineLevel="1">
      <c r="A257" s="33" t="s">
        <v>183</v>
      </c>
      <c r="B257" s="13" t="s">
        <v>45</v>
      </c>
      <c r="C257" s="13" t="s">
        <v>93</v>
      </c>
      <c r="D257" s="13" t="s">
        <v>5</v>
      </c>
      <c r="E257" s="22">
        <v>0</v>
      </c>
      <c r="F257" s="23">
        <v>600</v>
      </c>
      <c r="G257" s="38">
        <v>100</v>
      </c>
      <c r="H257" s="38">
        <v>26.58</v>
      </c>
      <c r="I257" s="38">
        <f t="shared" si="8"/>
        <v>26.58</v>
      </c>
    </row>
    <row r="258" spans="1:9" ht="50.25" customHeight="1" outlineLevel="1">
      <c r="A258" s="36" t="s">
        <v>177</v>
      </c>
      <c r="B258" s="13" t="s">
        <v>45</v>
      </c>
      <c r="C258" s="13" t="s">
        <v>93</v>
      </c>
      <c r="D258" s="13" t="s">
        <v>4</v>
      </c>
      <c r="E258" s="22">
        <v>0</v>
      </c>
      <c r="F258" s="23"/>
      <c r="G258" s="38">
        <f>SUM(G259)</f>
        <v>150</v>
      </c>
      <c r="H258" s="38">
        <f>SUM(H259)</f>
        <v>76.6716</v>
      </c>
      <c r="I258" s="38">
        <f t="shared" si="8"/>
        <v>51.114399999999996</v>
      </c>
    </row>
    <row r="259" spans="1:9" ht="32.25" customHeight="1" outlineLevel="1">
      <c r="A259" s="33" t="s">
        <v>183</v>
      </c>
      <c r="B259" s="13" t="s">
        <v>45</v>
      </c>
      <c r="C259" s="13" t="s">
        <v>93</v>
      </c>
      <c r="D259" s="13" t="s">
        <v>4</v>
      </c>
      <c r="E259" s="22">
        <v>0</v>
      </c>
      <c r="F259" s="23">
        <v>600</v>
      </c>
      <c r="G259" s="38">
        <f>200-50</f>
        <v>150</v>
      </c>
      <c r="H259" s="38">
        <v>76.6716</v>
      </c>
      <c r="I259" s="38">
        <f t="shared" si="8"/>
        <v>51.114399999999996</v>
      </c>
    </row>
    <row r="260" spans="1:9" ht="66" customHeight="1" outlineLevel="1">
      <c r="A260" s="33" t="s">
        <v>221</v>
      </c>
      <c r="B260" s="13" t="s">
        <v>45</v>
      </c>
      <c r="C260" s="13" t="s">
        <v>93</v>
      </c>
      <c r="D260" s="13" t="s">
        <v>19</v>
      </c>
      <c r="E260" s="22">
        <v>0</v>
      </c>
      <c r="F260" s="17"/>
      <c r="G260" s="38">
        <f>SUM(G261)</f>
        <v>150.5</v>
      </c>
      <c r="H260" s="38">
        <f>SUM(H261)</f>
        <v>73.026</v>
      </c>
      <c r="I260" s="38">
        <f t="shared" si="8"/>
        <v>48.52225913621262</v>
      </c>
    </row>
    <row r="261" spans="1:9" ht="35.25" customHeight="1" outlineLevel="1">
      <c r="A261" s="33" t="s">
        <v>183</v>
      </c>
      <c r="B261" s="13" t="s">
        <v>45</v>
      </c>
      <c r="C261" s="13" t="s">
        <v>93</v>
      </c>
      <c r="D261" s="13" t="s">
        <v>19</v>
      </c>
      <c r="E261" s="22">
        <v>0</v>
      </c>
      <c r="F261" s="17">
        <v>600</v>
      </c>
      <c r="G261" s="38">
        <f>50+25.25+50+25.25</f>
        <v>150.5</v>
      </c>
      <c r="H261" s="38">
        <v>73.026</v>
      </c>
      <c r="I261" s="38">
        <f t="shared" si="8"/>
        <v>48.52225913621262</v>
      </c>
    </row>
    <row r="262" spans="1:9" ht="52.5" customHeight="1" outlineLevel="1">
      <c r="A262" s="36" t="s">
        <v>212</v>
      </c>
      <c r="B262" s="13" t="s">
        <v>45</v>
      </c>
      <c r="C262" s="13" t="s">
        <v>134</v>
      </c>
      <c r="D262" s="13" t="s">
        <v>28</v>
      </c>
      <c r="E262" s="22">
        <v>0</v>
      </c>
      <c r="F262" s="17"/>
      <c r="G262" s="38">
        <f>SUM(G263+G266+G268+G272+G274)</f>
        <v>12173</v>
      </c>
      <c r="H262" s="38">
        <f>SUM(H263+H266+H268+H272+H274)</f>
        <v>9639.335640000001</v>
      </c>
      <c r="I262" s="38">
        <f t="shared" si="8"/>
        <v>79.18619600755773</v>
      </c>
    </row>
    <row r="263" spans="1:9" ht="22.5" customHeight="1" outlineLevel="5">
      <c r="A263" s="36" t="s">
        <v>88</v>
      </c>
      <c r="B263" s="13" t="s">
        <v>45</v>
      </c>
      <c r="C263" s="13" t="s">
        <v>93</v>
      </c>
      <c r="D263" s="13" t="s">
        <v>28</v>
      </c>
      <c r="E263" s="22">
        <v>0</v>
      </c>
      <c r="F263" s="17"/>
      <c r="G263" s="38">
        <f>SUM(G264:G265)</f>
        <v>9087</v>
      </c>
      <c r="H263" s="38">
        <f>SUM(H264:H265)</f>
        <v>7496.27255</v>
      </c>
      <c r="I263" s="38">
        <f t="shared" si="8"/>
        <v>82.49447067238911</v>
      </c>
    </row>
    <row r="264" spans="1:9" ht="34.5" customHeight="1" outlineLevel="3">
      <c r="A264" s="33" t="s">
        <v>183</v>
      </c>
      <c r="B264" s="13" t="s">
        <v>45</v>
      </c>
      <c r="C264" s="13" t="s">
        <v>93</v>
      </c>
      <c r="D264" s="13" t="s">
        <v>28</v>
      </c>
      <c r="E264" s="22">
        <v>0</v>
      </c>
      <c r="F264" s="17">
        <v>600</v>
      </c>
      <c r="G264" s="38">
        <f>7214+1000+873</f>
        <v>9087</v>
      </c>
      <c r="H264" s="38">
        <v>7496.27255</v>
      </c>
      <c r="I264" s="38">
        <f t="shared" si="8"/>
        <v>82.49447067238911</v>
      </c>
    </row>
    <row r="265" spans="1:9" ht="33" customHeight="1" outlineLevel="2">
      <c r="A265" s="33" t="s">
        <v>189</v>
      </c>
      <c r="B265" s="13" t="s">
        <v>45</v>
      </c>
      <c r="C265" s="13" t="s">
        <v>93</v>
      </c>
      <c r="D265" s="13" t="s">
        <v>28</v>
      </c>
      <c r="E265" s="22">
        <v>0</v>
      </c>
      <c r="F265" s="17">
        <v>600</v>
      </c>
      <c r="G265" s="38">
        <v>0</v>
      </c>
      <c r="H265" s="38">
        <v>0</v>
      </c>
      <c r="I265" s="38">
        <v>0</v>
      </c>
    </row>
    <row r="266" spans="1:9" ht="15.75" outlineLevel="5">
      <c r="A266" s="36" t="s">
        <v>89</v>
      </c>
      <c r="B266" s="13" t="s">
        <v>45</v>
      </c>
      <c r="C266" s="13" t="s">
        <v>93</v>
      </c>
      <c r="D266" s="13" t="s">
        <v>28</v>
      </c>
      <c r="E266" s="22">
        <v>0</v>
      </c>
      <c r="F266" s="23"/>
      <c r="G266" s="38">
        <f>SUM(G267)</f>
        <v>862</v>
      </c>
      <c r="H266" s="38">
        <f>SUM(H267)</f>
        <v>483.14963</v>
      </c>
      <c r="I266" s="38">
        <f t="shared" si="8"/>
        <v>56.04984106728538</v>
      </c>
    </row>
    <row r="267" spans="1:9" ht="33.75" customHeight="1" outlineLevel="1">
      <c r="A267" s="33" t="s">
        <v>183</v>
      </c>
      <c r="B267" s="13" t="s">
        <v>45</v>
      </c>
      <c r="C267" s="13" t="s">
        <v>93</v>
      </c>
      <c r="D267" s="13" t="s">
        <v>28</v>
      </c>
      <c r="E267" s="22">
        <v>0</v>
      </c>
      <c r="F267" s="23">
        <v>600</v>
      </c>
      <c r="G267" s="38">
        <f>862</f>
        <v>862</v>
      </c>
      <c r="H267" s="38">
        <v>483.14963</v>
      </c>
      <c r="I267" s="38">
        <f aca="true" t="shared" si="9" ref="I267:I329">SUM(H267/G267)*100</f>
        <v>56.04984106728538</v>
      </c>
    </row>
    <row r="268" spans="1:9" ht="15.75" outlineLevel="2">
      <c r="A268" s="36" t="s">
        <v>90</v>
      </c>
      <c r="B268" s="13" t="s">
        <v>45</v>
      </c>
      <c r="C268" s="13" t="s">
        <v>93</v>
      </c>
      <c r="D268" s="13" t="s">
        <v>28</v>
      </c>
      <c r="E268" s="22">
        <v>0</v>
      </c>
      <c r="F268" s="23"/>
      <c r="G268" s="38">
        <f>SUM(G269:G270)</f>
        <v>1069</v>
      </c>
      <c r="H268" s="38">
        <f>SUM(H269:H270)</f>
        <v>730.09142</v>
      </c>
      <c r="I268" s="38">
        <f t="shared" si="9"/>
        <v>68.29667165575304</v>
      </c>
    </row>
    <row r="269" spans="1:9" ht="32.25" customHeight="1" outlineLevel="5">
      <c r="A269" s="33" t="s">
        <v>183</v>
      </c>
      <c r="B269" s="13" t="s">
        <v>45</v>
      </c>
      <c r="C269" s="13" t="s">
        <v>93</v>
      </c>
      <c r="D269" s="13" t="s">
        <v>28</v>
      </c>
      <c r="E269" s="22">
        <v>0</v>
      </c>
      <c r="F269" s="23">
        <v>600</v>
      </c>
      <c r="G269" s="38">
        <f>1069</f>
        <v>1069</v>
      </c>
      <c r="H269" s="38">
        <v>730.09142</v>
      </c>
      <c r="I269" s="38">
        <f t="shared" si="9"/>
        <v>68.29667165575304</v>
      </c>
    </row>
    <row r="270" spans="1:9" ht="31.5" outlineLevel="3">
      <c r="A270" s="36" t="s">
        <v>174</v>
      </c>
      <c r="B270" s="13" t="s">
        <v>45</v>
      </c>
      <c r="C270" s="13" t="s">
        <v>93</v>
      </c>
      <c r="D270" s="13" t="s">
        <v>28</v>
      </c>
      <c r="E270" s="22">
        <v>0</v>
      </c>
      <c r="F270" s="23"/>
      <c r="G270" s="38">
        <f>SUM(G271)</f>
        <v>0</v>
      </c>
      <c r="H270" s="38">
        <f>SUM(H271)</f>
        <v>0</v>
      </c>
      <c r="I270" s="38">
        <v>0</v>
      </c>
    </row>
    <row r="271" spans="1:9" ht="64.5" customHeight="1" outlineLevel="3">
      <c r="A271" s="36" t="s">
        <v>173</v>
      </c>
      <c r="B271" s="13" t="s">
        <v>45</v>
      </c>
      <c r="C271" s="13" t="s">
        <v>93</v>
      </c>
      <c r="D271" s="13" t="s">
        <v>28</v>
      </c>
      <c r="E271" s="22">
        <v>0</v>
      </c>
      <c r="F271" s="23">
        <v>600</v>
      </c>
      <c r="G271" s="38">
        <v>0</v>
      </c>
      <c r="H271" s="38">
        <v>0</v>
      </c>
      <c r="I271" s="38">
        <v>0</v>
      </c>
    </row>
    <row r="272" spans="1:9" ht="15.75" outlineLevel="3">
      <c r="A272" s="36" t="s">
        <v>91</v>
      </c>
      <c r="B272" s="13" t="s">
        <v>45</v>
      </c>
      <c r="C272" s="13" t="s">
        <v>94</v>
      </c>
      <c r="D272" s="13" t="s">
        <v>28</v>
      </c>
      <c r="E272" s="22">
        <v>0</v>
      </c>
      <c r="F272" s="23"/>
      <c r="G272" s="38">
        <f>SUM(G273)</f>
        <v>309</v>
      </c>
      <c r="H272" s="38">
        <f>SUM(H273)</f>
        <v>179.37</v>
      </c>
      <c r="I272" s="38">
        <f t="shared" si="9"/>
        <v>58.04854368932039</v>
      </c>
    </row>
    <row r="273" spans="1:9" ht="32.25" customHeight="1" outlineLevel="3">
      <c r="A273" s="33" t="s">
        <v>183</v>
      </c>
      <c r="B273" s="13" t="s">
        <v>45</v>
      </c>
      <c r="C273" s="13" t="s">
        <v>94</v>
      </c>
      <c r="D273" s="13" t="s">
        <v>28</v>
      </c>
      <c r="E273" s="22">
        <v>0</v>
      </c>
      <c r="F273" s="23">
        <v>600</v>
      </c>
      <c r="G273" s="38">
        <f>309</f>
        <v>309</v>
      </c>
      <c r="H273" s="38">
        <v>179.37</v>
      </c>
      <c r="I273" s="38">
        <f t="shared" si="9"/>
        <v>58.04854368932039</v>
      </c>
    </row>
    <row r="274" spans="1:9" ht="21.75" customHeight="1">
      <c r="A274" s="36" t="s">
        <v>92</v>
      </c>
      <c r="B274" s="13" t="s">
        <v>45</v>
      </c>
      <c r="C274" s="13" t="s">
        <v>95</v>
      </c>
      <c r="D274" s="13" t="s">
        <v>28</v>
      </c>
      <c r="E274" s="22">
        <v>0</v>
      </c>
      <c r="F274" s="23"/>
      <c r="G274" s="38">
        <f>SUM(G275)</f>
        <v>846</v>
      </c>
      <c r="H274" s="38">
        <f>SUM(H275)</f>
        <v>750.45204</v>
      </c>
      <c r="I274" s="38">
        <f t="shared" si="9"/>
        <v>88.70591489361702</v>
      </c>
    </row>
    <row r="275" spans="1:9" ht="32.25" customHeight="1" outlineLevel="5">
      <c r="A275" s="33" t="s">
        <v>183</v>
      </c>
      <c r="B275" s="13" t="s">
        <v>45</v>
      </c>
      <c r="C275" s="13" t="s">
        <v>95</v>
      </c>
      <c r="D275" s="13" t="s">
        <v>28</v>
      </c>
      <c r="E275" s="22">
        <v>0</v>
      </c>
      <c r="F275" s="23">
        <v>600</v>
      </c>
      <c r="G275" s="38">
        <f>846</f>
        <v>846</v>
      </c>
      <c r="H275" s="38">
        <v>750.45204</v>
      </c>
      <c r="I275" s="38">
        <f t="shared" si="9"/>
        <v>88.70591489361702</v>
      </c>
    </row>
    <row r="276" spans="1:9" ht="19.5" customHeight="1" outlineLevel="5">
      <c r="A276" s="33" t="s">
        <v>253</v>
      </c>
      <c r="B276" s="13" t="s">
        <v>45</v>
      </c>
      <c r="C276" s="13" t="s">
        <v>254</v>
      </c>
      <c r="D276" s="13"/>
      <c r="E276" s="22"/>
      <c r="F276" s="23"/>
      <c r="G276" s="38">
        <f>SUM(G277)</f>
        <v>5600</v>
      </c>
      <c r="H276" s="38">
        <f>SUM(H277)</f>
        <v>0</v>
      </c>
      <c r="I276" s="38">
        <f t="shared" si="9"/>
        <v>0</v>
      </c>
    </row>
    <row r="277" spans="1:9" ht="18.75" customHeight="1" outlineLevel="5">
      <c r="A277" s="33" t="s">
        <v>255</v>
      </c>
      <c r="B277" s="13" t="s">
        <v>45</v>
      </c>
      <c r="C277" s="13" t="s">
        <v>256</v>
      </c>
      <c r="D277" s="13"/>
      <c r="E277" s="22"/>
      <c r="F277" s="23"/>
      <c r="G277" s="38">
        <f>SUM(G280)</f>
        <v>5600</v>
      </c>
      <c r="H277" s="38">
        <f>SUM(H280)</f>
        <v>0</v>
      </c>
      <c r="I277" s="38">
        <f t="shared" si="9"/>
        <v>0</v>
      </c>
    </row>
    <row r="278" spans="1:9" ht="50.25" customHeight="1" outlineLevel="5">
      <c r="A278" s="33" t="s">
        <v>224</v>
      </c>
      <c r="B278" s="13" t="s">
        <v>45</v>
      </c>
      <c r="C278" s="13" t="s">
        <v>256</v>
      </c>
      <c r="D278" s="13" t="s">
        <v>6</v>
      </c>
      <c r="E278" s="22">
        <v>0</v>
      </c>
      <c r="F278" s="23"/>
      <c r="G278" s="38">
        <f>SUM(G279)</f>
        <v>5600</v>
      </c>
      <c r="H278" s="38">
        <f>SUM(H279)</f>
        <v>0</v>
      </c>
      <c r="I278" s="38">
        <f t="shared" si="9"/>
        <v>0</v>
      </c>
    </row>
    <row r="279" spans="1:9" ht="51" customHeight="1" outlineLevel="5">
      <c r="A279" s="33" t="s">
        <v>238</v>
      </c>
      <c r="B279" s="13" t="s">
        <v>45</v>
      </c>
      <c r="C279" s="13" t="s">
        <v>256</v>
      </c>
      <c r="D279" s="13" t="s">
        <v>6</v>
      </c>
      <c r="E279" s="22">
        <v>3</v>
      </c>
      <c r="F279" s="17"/>
      <c r="G279" s="38">
        <f>SUM(G280:G280)</f>
        <v>5600</v>
      </c>
      <c r="H279" s="38">
        <f>SUM(H280:H280)</f>
        <v>0</v>
      </c>
      <c r="I279" s="38">
        <f t="shared" si="9"/>
        <v>0</v>
      </c>
    </row>
    <row r="280" spans="1:9" ht="34.5" customHeight="1" outlineLevel="5">
      <c r="A280" s="33" t="s">
        <v>188</v>
      </c>
      <c r="B280" s="13" t="s">
        <v>45</v>
      </c>
      <c r="C280" s="13" t="s">
        <v>256</v>
      </c>
      <c r="D280" s="13" t="s">
        <v>6</v>
      </c>
      <c r="E280" s="22">
        <v>3</v>
      </c>
      <c r="F280" s="17">
        <v>400</v>
      </c>
      <c r="G280" s="38">
        <f>1300+1500+200+1300+1300</f>
        <v>5600</v>
      </c>
      <c r="H280" s="38">
        <v>0</v>
      </c>
      <c r="I280" s="38">
        <f t="shared" si="9"/>
        <v>0</v>
      </c>
    </row>
    <row r="281" spans="1:9" ht="15.75" outlineLevel="5">
      <c r="A281" s="33" t="s">
        <v>96</v>
      </c>
      <c r="B281" s="13" t="s">
        <v>45</v>
      </c>
      <c r="C281" s="13" t="s">
        <v>197</v>
      </c>
      <c r="D281" s="13"/>
      <c r="E281" s="22"/>
      <c r="F281" s="17"/>
      <c r="G281" s="38">
        <f>SUM(G282+G285+G296)</f>
        <v>20912.548</v>
      </c>
      <c r="H281" s="38">
        <f>SUM(H282+H285+H296)</f>
        <v>16680.500340000002</v>
      </c>
      <c r="I281" s="38">
        <f t="shared" si="9"/>
        <v>79.76311800934063</v>
      </c>
    </row>
    <row r="282" spans="1:9" ht="47.25" outlineLevel="5">
      <c r="A282" s="33" t="s">
        <v>98</v>
      </c>
      <c r="B282" s="13" t="s">
        <v>45</v>
      </c>
      <c r="C282" s="13" t="s">
        <v>99</v>
      </c>
      <c r="D282" s="13"/>
      <c r="E282" s="22"/>
      <c r="F282" s="17"/>
      <c r="G282" s="38">
        <f>SUM(G283)</f>
        <v>2200</v>
      </c>
      <c r="H282" s="38">
        <f>SUM(H283)</f>
        <v>1877.59198</v>
      </c>
      <c r="I282" s="38">
        <f t="shared" si="9"/>
        <v>85.34509</v>
      </c>
    </row>
    <row r="283" spans="1:9" ht="37.5" customHeight="1" outlineLevel="5">
      <c r="A283" s="33" t="s">
        <v>182</v>
      </c>
      <c r="B283" s="13" t="s">
        <v>45</v>
      </c>
      <c r="C283" s="13" t="s">
        <v>99</v>
      </c>
      <c r="D283" s="13" t="s">
        <v>16</v>
      </c>
      <c r="E283" s="22">
        <v>0</v>
      </c>
      <c r="F283" s="17"/>
      <c r="G283" s="38">
        <f>SUM(G284)</f>
        <v>2200</v>
      </c>
      <c r="H283" s="38">
        <f>SUM(H284)</f>
        <v>1877.59198</v>
      </c>
      <c r="I283" s="38">
        <f t="shared" si="9"/>
        <v>85.34509</v>
      </c>
    </row>
    <row r="284" spans="1:9" ht="17.25" customHeight="1" outlineLevel="5">
      <c r="A284" s="33" t="s">
        <v>184</v>
      </c>
      <c r="B284" s="13" t="s">
        <v>45</v>
      </c>
      <c r="C284" s="13" t="s">
        <v>99</v>
      </c>
      <c r="D284" s="13" t="s">
        <v>16</v>
      </c>
      <c r="E284" s="22">
        <v>0</v>
      </c>
      <c r="F284" s="17">
        <v>300</v>
      </c>
      <c r="G284" s="38">
        <f>1400+600+200</f>
        <v>2200</v>
      </c>
      <c r="H284" s="38">
        <v>1877.59198</v>
      </c>
      <c r="I284" s="38">
        <f t="shared" si="9"/>
        <v>85.34509</v>
      </c>
    </row>
    <row r="285" spans="1:9" ht="15.75" outlineLevel="5">
      <c r="A285" s="33" t="s">
        <v>101</v>
      </c>
      <c r="B285" s="13" t="s">
        <v>45</v>
      </c>
      <c r="C285" s="13" t="s">
        <v>103</v>
      </c>
      <c r="D285" s="13"/>
      <c r="E285" s="22"/>
      <c r="F285" s="17"/>
      <c r="G285" s="38">
        <f>SUM(G286+G288)</f>
        <v>13309.447999999999</v>
      </c>
      <c r="H285" s="38">
        <f>SUM(H286+H288)</f>
        <v>10544.066310000002</v>
      </c>
      <c r="I285" s="38">
        <f t="shared" si="9"/>
        <v>79.22241636167033</v>
      </c>
    </row>
    <row r="286" spans="1:9" ht="101.25" customHeight="1" outlineLevel="5">
      <c r="A286" s="33" t="s">
        <v>208</v>
      </c>
      <c r="B286" s="13" t="s">
        <v>45</v>
      </c>
      <c r="C286" s="13" t="s">
        <v>103</v>
      </c>
      <c r="D286" s="13" t="s">
        <v>8</v>
      </c>
      <c r="E286" s="22">
        <v>0</v>
      </c>
      <c r="F286" s="17"/>
      <c r="G286" s="38">
        <f>SUM(G287)</f>
        <v>500</v>
      </c>
      <c r="H286" s="38">
        <f>SUM(H287)</f>
        <v>290.097</v>
      </c>
      <c r="I286" s="38">
        <f t="shared" si="9"/>
        <v>58.0194</v>
      </c>
    </row>
    <row r="287" spans="1:9" ht="17.25" customHeight="1" outlineLevel="5">
      <c r="A287" s="33" t="s">
        <v>184</v>
      </c>
      <c r="B287" s="13" t="s">
        <v>45</v>
      </c>
      <c r="C287" s="13" t="s">
        <v>103</v>
      </c>
      <c r="D287" s="13" t="s">
        <v>8</v>
      </c>
      <c r="E287" s="22">
        <v>0</v>
      </c>
      <c r="F287" s="17">
        <v>300</v>
      </c>
      <c r="G287" s="38">
        <f>480+20</f>
        <v>500</v>
      </c>
      <c r="H287" s="38">
        <v>290.097</v>
      </c>
      <c r="I287" s="38">
        <f t="shared" si="9"/>
        <v>58.0194</v>
      </c>
    </row>
    <row r="288" spans="1:9" ht="36.75" customHeight="1" outlineLevel="5">
      <c r="A288" s="33" t="s">
        <v>182</v>
      </c>
      <c r="B288" s="13" t="s">
        <v>45</v>
      </c>
      <c r="C288" s="13" t="s">
        <v>103</v>
      </c>
      <c r="D288" s="13" t="s">
        <v>16</v>
      </c>
      <c r="E288" s="22">
        <v>0</v>
      </c>
      <c r="F288" s="17"/>
      <c r="G288" s="38">
        <f>SUM(G289+G293+G294+G295)</f>
        <v>12809.447999999999</v>
      </c>
      <c r="H288" s="38">
        <f>SUM(H289+H293+H294+H295)</f>
        <v>10253.969310000002</v>
      </c>
      <c r="I288" s="38">
        <f t="shared" si="9"/>
        <v>80.05004829247913</v>
      </c>
    </row>
    <row r="289" spans="1:9" ht="145.5" customHeight="1" outlineLevel="5">
      <c r="A289" s="33" t="s">
        <v>123</v>
      </c>
      <c r="B289" s="13" t="s">
        <v>45</v>
      </c>
      <c r="C289" s="13" t="s">
        <v>103</v>
      </c>
      <c r="D289" s="13" t="s">
        <v>16</v>
      </c>
      <c r="E289" s="22">
        <v>0</v>
      </c>
      <c r="F289" s="17"/>
      <c r="G289" s="38">
        <f>SUM(G290:G292)</f>
        <v>8262.047999999999</v>
      </c>
      <c r="H289" s="38">
        <f>SUM(H290:H292)</f>
        <v>7421.94861</v>
      </c>
      <c r="I289" s="38">
        <f t="shared" si="9"/>
        <v>89.83182632199669</v>
      </c>
    </row>
    <row r="290" spans="1:9" ht="18" customHeight="1" outlineLevel="5">
      <c r="A290" s="33" t="s">
        <v>184</v>
      </c>
      <c r="B290" s="13" t="s">
        <v>45</v>
      </c>
      <c r="C290" s="13" t="s">
        <v>103</v>
      </c>
      <c r="D290" s="13" t="s">
        <v>16</v>
      </c>
      <c r="E290" s="22">
        <v>0</v>
      </c>
      <c r="F290" s="17">
        <v>300</v>
      </c>
      <c r="G290" s="38">
        <f>4003.461+424.8+312.599+1485.148+276.78+874.21-249.689</f>
        <v>7127.308999999999</v>
      </c>
      <c r="H290" s="38">
        <v>6804.93435</v>
      </c>
      <c r="I290" s="38">
        <f t="shared" si="9"/>
        <v>95.47690930756617</v>
      </c>
    </row>
    <row r="291" spans="1:9" ht="75" customHeight="1" outlineLevel="5">
      <c r="A291" s="33" t="s">
        <v>115</v>
      </c>
      <c r="B291" s="13" t="s">
        <v>45</v>
      </c>
      <c r="C291" s="13" t="s">
        <v>103</v>
      </c>
      <c r="D291" s="13" t="s">
        <v>16</v>
      </c>
      <c r="E291" s="22">
        <v>0</v>
      </c>
      <c r="F291" s="17">
        <v>100</v>
      </c>
      <c r="G291" s="38">
        <f>643.2+79.756-206.224-3+225</f>
        <v>738.732</v>
      </c>
      <c r="H291" s="38">
        <v>535.6912</v>
      </c>
      <c r="I291" s="38">
        <f t="shared" si="9"/>
        <v>72.514958063276</v>
      </c>
    </row>
    <row r="292" spans="1:9" ht="31.5" outlineLevel="5">
      <c r="A292" s="33" t="s">
        <v>116</v>
      </c>
      <c r="B292" s="13" t="s">
        <v>45</v>
      </c>
      <c r="C292" s="13" t="s">
        <v>103</v>
      </c>
      <c r="D292" s="13" t="s">
        <v>16</v>
      </c>
      <c r="E292" s="22">
        <v>0</v>
      </c>
      <c r="F292" s="17">
        <v>200</v>
      </c>
      <c r="G292" s="38">
        <f>87.7+81.083-106.375+14.852+3+2.768+8.742+304.237</f>
        <v>396.00700000000006</v>
      </c>
      <c r="H292" s="38">
        <v>81.32306</v>
      </c>
      <c r="I292" s="38">
        <f t="shared" si="9"/>
        <v>20.535763256710105</v>
      </c>
    </row>
    <row r="293" spans="1:9" ht="111.75" customHeight="1" outlineLevel="5">
      <c r="A293" s="33" t="s">
        <v>124</v>
      </c>
      <c r="B293" s="13" t="s">
        <v>45</v>
      </c>
      <c r="C293" s="13" t="s">
        <v>103</v>
      </c>
      <c r="D293" s="13" t="s">
        <v>16</v>
      </c>
      <c r="E293" s="22">
        <v>0</v>
      </c>
      <c r="F293" s="17">
        <v>300</v>
      </c>
      <c r="G293" s="38">
        <f>342.7+387.5+489.1</f>
        <v>1219.3000000000002</v>
      </c>
      <c r="H293" s="38">
        <v>780.37717</v>
      </c>
      <c r="I293" s="38">
        <f t="shared" si="9"/>
        <v>64.00206429918805</v>
      </c>
    </row>
    <row r="294" spans="1:9" ht="94.5" customHeight="1" outlineLevel="5">
      <c r="A294" s="33" t="s">
        <v>125</v>
      </c>
      <c r="B294" s="13" t="s">
        <v>45</v>
      </c>
      <c r="C294" s="13" t="s">
        <v>103</v>
      </c>
      <c r="D294" s="13" t="s">
        <v>16</v>
      </c>
      <c r="E294" s="22">
        <v>0</v>
      </c>
      <c r="F294" s="17">
        <v>300</v>
      </c>
      <c r="G294" s="38">
        <f>18.6+36.6</f>
        <v>55.2</v>
      </c>
      <c r="H294" s="38">
        <v>3.02078</v>
      </c>
      <c r="I294" s="38">
        <f t="shared" si="9"/>
        <v>5.4724275362318835</v>
      </c>
    </row>
    <row r="295" spans="1:9" ht="129.75" customHeight="1" outlineLevel="5">
      <c r="A295" s="33" t="s">
        <v>126</v>
      </c>
      <c r="B295" s="13" t="s">
        <v>45</v>
      </c>
      <c r="C295" s="13" t="s">
        <v>103</v>
      </c>
      <c r="D295" s="13" t="s">
        <v>16</v>
      </c>
      <c r="E295" s="22">
        <v>0</v>
      </c>
      <c r="F295" s="17">
        <v>300</v>
      </c>
      <c r="G295" s="38">
        <f>2485.3+787.6</f>
        <v>3272.9</v>
      </c>
      <c r="H295" s="38">
        <v>2048.62275</v>
      </c>
      <c r="I295" s="38">
        <f t="shared" si="9"/>
        <v>62.59350270402395</v>
      </c>
    </row>
    <row r="296" spans="1:9" ht="15.75">
      <c r="A296" s="33" t="s">
        <v>102</v>
      </c>
      <c r="B296" s="13" t="s">
        <v>45</v>
      </c>
      <c r="C296" s="13" t="s">
        <v>104</v>
      </c>
      <c r="D296" s="13"/>
      <c r="E296" s="22"/>
      <c r="F296" s="17"/>
      <c r="G296" s="38">
        <f>SUM(G297)</f>
        <v>5403.1</v>
      </c>
      <c r="H296" s="38">
        <f>SUM(H297)</f>
        <v>4258.84205</v>
      </c>
      <c r="I296" s="38">
        <f t="shared" si="9"/>
        <v>78.82219559141974</v>
      </c>
    </row>
    <row r="297" spans="1:9" ht="33" customHeight="1">
      <c r="A297" s="33" t="s">
        <v>182</v>
      </c>
      <c r="B297" s="13" t="s">
        <v>45</v>
      </c>
      <c r="C297" s="13" t="s">
        <v>104</v>
      </c>
      <c r="D297" s="13" t="s">
        <v>16</v>
      </c>
      <c r="E297" s="22">
        <v>0</v>
      </c>
      <c r="F297" s="17"/>
      <c r="G297" s="38">
        <f>SUM(G298+G301)</f>
        <v>5403.1</v>
      </c>
      <c r="H297" s="38">
        <f>SUM(H298+H301)</f>
        <v>4258.84205</v>
      </c>
      <c r="I297" s="38">
        <f t="shared" si="9"/>
        <v>78.82219559141974</v>
      </c>
    </row>
    <row r="298" spans="1:9" ht="204.75" customHeight="1">
      <c r="A298" s="33" t="s">
        <v>127</v>
      </c>
      <c r="B298" s="13" t="s">
        <v>45</v>
      </c>
      <c r="C298" s="13" t="s">
        <v>104</v>
      </c>
      <c r="D298" s="13" t="s">
        <v>16</v>
      </c>
      <c r="E298" s="22">
        <v>0</v>
      </c>
      <c r="F298" s="17"/>
      <c r="G298" s="38">
        <f>SUM(G299:G300)</f>
        <v>1084.9</v>
      </c>
      <c r="H298" s="38">
        <f>SUM(H299:H300)</f>
        <v>452.14205</v>
      </c>
      <c r="I298" s="38">
        <f t="shared" si="9"/>
        <v>41.67591943957968</v>
      </c>
    </row>
    <row r="299" spans="1:9" ht="15.75">
      <c r="A299" s="33" t="s">
        <v>100</v>
      </c>
      <c r="B299" s="13" t="s">
        <v>45</v>
      </c>
      <c r="C299" s="13" t="s">
        <v>104</v>
      </c>
      <c r="D299" s="13" t="s">
        <v>16</v>
      </c>
      <c r="E299" s="22">
        <v>0</v>
      </c>
      <c r="F299" s="17">
        <v>300</v>
      </c>
      <c r="G299" s="38">
        <f>1174.75-100.55-0.04</f>
        <v>1074.16</v>
      </c>
      <c r="H299" s="38">
        <v>450.57872</v>
      </c>
      <c r="I299" s="38">
        <f t="shared" si="9"/>
        <v>41.94707678558129</v>
      </c>
    </row>
    <row r="300" spans="1:9" ht="31.5">
      <c r="A300" s="33" t="s">
        <v>116</v>
      </c>
      <c r="B300" s="13" t="s">
        <v>45</v>
      </c>
      <c r="C300" s="13" t="s">
        <v>104</v>
      </c>
      <c r="D300" s="13" t="s">
        <v>16</v>
      </c>
      <c r="E300" s="22">
        <v>0</v>
      </c>
      <c r="F300" s="17">
        <v>200</v>
      </c>
      <c r="G300" s="38">
        <f>11.75-1.05+0.04</f>
        <v>10.739999999999998</v>
      </c>
      <c r="H300" s="38">
        <v>1.56333</v>
      </c>
      <c r="I300" s="38">
        <f t="shared" si="9"/>
        <v>14.556145251396652</v>
      </c>
    </row>
    <row r="301" spans="1:9" ht="163.5" customHeight="1">
      <c r="A301" s="33" t="s">
        <v>128</v>
      </c>
      <c r="B301" s="13" t="s">
        <v>45</v>
      </c>
      <c r="C301" s="13" t="s">
        <v>104</v>
      </c>
      <c r="D301" s="13" t="s">
        <v>16</v>
      </c>
      <c r="E301" s="22">
        <v>0</v>
      </c>
      <c r="F301" s="17"/>
      <c r="G301" s="38">
        <f>SUM(G302:G303)</f>
        <v>4318.2</v>
      </c>
      <c r="H301" s="38">
        <f>SUM(H302:H303)</f>
        <v>3806.7</v>
      </c>
      <c r="I301" s="38">
        <f t="shared" si="9"/>
        <v>88.15478671668751</v>
      </c>
    </row>
    <row r="302" spans="1:9" ht="20.25" customHeight="1">
      <c r="A302" s="33" t="s">
        <v>129</v>
      </c>
      <c r="B302" s="13" t="s">
        <v>45</v>
      </c>
      <c r="C302" s="13" t="s">
        <v>104</v>
      </c>
      <c r="D302" s="13" t="s">
        <v>16</v>
      </c>
      <c r="E302" s="22">
        <v>0</v>
      </c>
      <c r="F302" s="17">
        <v>300</v>
      </c>
      <c r="G302" s="38">
        <f>2031.6+445.9+1226.3</f>
        <v>3703.8</v>
      </c>
      <c r="H302" s="38">
        <v>3258</v>
      </c>
      <c r="I302" s="38">
        <f t="shared" si="9"/>
        <v>87.96371294346346</v>
      </c>
    </row>
    <row r="303" spans="1:9" ht="48.75" customHeight="1">
      <c r="A303" s="33" t="s">
        <v>130</v>
      </c>
      <c r="B303" s="13" t="s">
        <v>45</v>
      </c>
      <c r="C303" s="13" t="s">
        <v>104</v>
      </c>
      <c r="D303" s="13" t="s">
        <v>16</v>
      </c>
      <c r="E303" s="22">
        <v>0</v>
      </c>
      <c r="F303" s="17">
        <v>300</v>
      </c>
      <c r="G303" s="38">
        <f>342.9+129.3+142.2</f>
        <v>614.4</v>
      </c>
      <c r="H303" s="38">
        <v>548.7</v>
      </c>
      <c r="I303" s="38">
        <f t="shared" si="9"/>
        <v>89.30664062500001</v>
      </c>
    </row>
    <row r="304" spans="1:9" ht="15.75">
      <c r="A304" s="33" t="s">
        <v>105</v>
      </c>
      <c r="B304" s="13" t="s">
        <v>45</v>
      </c>
      <c r="C304" s="13" t="s">
        <v>160</v>
      </c>
      <c r="D304" s="13"/>
      <c r="E304" s="22"/>
      <c r="F304" s="17"/>
      <c r="G304" s="38">
        <f>SUM(G312+G305)</f>
        <v>3739.66</v>
      </c>
      <c r="H304" s="38">
        <f>SUM(H312+H305)</f>
        <v>1746.91973</v>
      </c>
      <c r="I304" s="38">
        <f t="shared" si="9"/>
        <v>46.7133303562356</v>
      </c>
    </row>
    <row r="305" spans="1:9" ht="15.75">
      <c r="A305" s="33" t="s">
        <v>258</v>
      </c>
      <c r="B305" s="13" t="s">
        <v>45</v>
      </c>
      <c r="C305" s="13" t="s">
        <v>257</v>
      </c>
      <c r="D305" s="13"/>
      <c r="E305" s="22"/>
      <c r="F305" s="17"/>
      <c r="G305" s="38">
        <f>SUM(G306)</f>
        <v>3039.66</v>
      </c>
      <c r="H305" s="38">
        <f>SUM(H306)</f>
        <v>1116.68473</v>
      </c>
      <c r="I305" s="38">
        <f t="shared" si="9"/>
        <v>36.7371590901614</v>
      </c>
    </row>
    <row r="306" spans="1:9" ht="49.5" customHeight="1">
      <c r="A306" s="33" t="s">
        <v>224</v>
      </c>
      <c r="B306" s="13" t="s">
        <v>45</v>
      </c>
      <c r="C306" s="13" t="s">
        <v>257</v>
      </c>
      <c r="D306" s="13" t="s">
        <v>6</v>
      </c>
      <c r="E306" s="22">
        <v>0</v>
      </c>
      <c r="F306" s="23"/>
      <c r="G306" s="38">
        <f>SUM(G307)</f>
        <v>3039.66</v>
      </c>
      <c r="H306" s="38">
        <f>SUM(H307)</f>
        <v>1116.68473</v>
      </c>
      <c r="I306" s="38">
        <f t="shared" si="9"/>
        <v>36.7371590901614</v>
      </c>
    </row>
    <row r="307" spans="1:9" ht="47.25">
      <c r="A307" s="33" t="s">
        <v>238</v>
      </c>
      <c r="B307" s="13" t="s">
        <v>45</v>
      </c>
      <c r="C307" s="13" t="s">
        <v>257</v>
      </c>
      <c r="D307" s="13" t="s">
        <v>6</v>
      </c>
      <c r="E307" s="22">
        <v>3</v>
      </c>
      <c r="F307" s="17"/>
      <c r="G307" s="38">
        <f>SUM(G308:G311)</f>
        <v>3039.66</v>
      </c>
      <c r="H307" s="38">
        <f>SUM(H308:H311)</f>
        <v>1116.68473</v>
      </c>
      <c r="I307" s="38">
        <f t="shared" si="9"/>
        <v>36.7371590901614</v>
      </c>
    </row>
    <row r="308" spans="1:9" ht="47.25">
      <c r="A308" s="33" t="s">
        <v>259</v>
      </c>
      <c r="B308" s="13" t="s">
        <v>45</v>
      </c>
      <c r="C308" s="13" t="s">
        <v>257</v>
      </c>
      <c r="D308" s="13" t="s">
        <v>6</v>
      </c>
      <c r="E308" s="22">
        <v>3</v>
      </c>
      <c r="F308" s="17">
        <v>400</v>
      </c>
      <c r="G308" s="38">
        <f>647-520.89935</f>
        <v>126.10064999999997</v>
      </c>
      <c r="H308" s="38">
        <v>0</v>
      </c>
      <c r="I308" s="38">
        <f t="shared" si="9"/>
        <v>0</v>
      </c>
    </row>
    <row r="309" spans="1:9" ht="47.25">
      <c r="A309" s="33" t="s">
        <v>260</v>
      </c>
      <c r="B309" s="13" t="s">
        <v>45</v>
      </c>
      <c r="C309" s="13" t="s">
        <v>257</v>
      </c>
      <c r="D309" s="13" t="s">
        <v>6</v>
      </c>
      <c r="E309" s="22">
        <v>3</v>
      </c>
      <c r="F309" s="17">
        <v>400</v>
      </c>
      <c r="G309" s="38">
        <f>1942.6-373.89571</f>
        <v>1568.70429</v>
      </c>
      <c r="H309" s="38">
        <v>709.3544</v>
      </c>
      <c r="I309" s="38">
        <f t="shared" si="9"/>
        <v>45.21912794666993</v>
      </c>
    </row>
    <row r="310" spans="1:9" ht="34.5" customHeight="1">
      <c r="A310" s="33" t="s">
        <v>261</v>
      </c>
      <c r="B310" s="13" t="s">
        <v>45</v>
      </c>
      <c r="C310" s="13" t="s">
        <v>257</v>
      </c>
      <c r="D310" s="13" t="s">
        <v>6</v>
      </c>
      <c r="E310" s="22">
        <v>3</v>
      </c>
      <c r="F310" s="17">
        <v>400</v>
      </c>
      <c r="G310" s="38">
        <f>300.06-127.86946</f>
        <v>172.19054</v>
      </c>
      <c r="H310" s="38">
        <v>55.531</v>
      </c>
      <c r="I310" s="38">
        <f t="shared" si="9"/>
        <v>32.24973915524047</v>
      </c>
    </row>
    <row r="311" spans="1:9" ht="34.5" customHeight="1">
      <c r="A311" s="33" t="s">
        <v>183</v>
      </c>
      <c r="B311" s="13" t="s">
        <v>45</v>
      </c>
      <c r="C311" s="13" t="s">
        <v>257</v>
      </c>
      <c r="D311" s="13" t="s">
        <v>6</v>
      </c>
      <c r="E311" s="22">
        <v>3</v>
      </c>
      <c r="F311" s="17">
        <v>600</v>
      </c>
      <c r="G311" s="38">
        <f>1022.66452+150</f>
        <v>1172.66452</v>
      </c>
      <c r="H311" s="38">
        <v>351.79933</v>
      </c>
      <c r="I311" s="38">
        <f t="shared" si="9"/>
        <v>29.999997782827094</v>
      </c>
    </row>
    <row r="312" spans="1:9" ht="28.5" customHeight="1">
      <c r="A312" s="33" t="s">
        <v>263</v>
      </c>
      <c r="B312" s="13" t="s">
        <v>45</v>
      </c>
      <c r="C312" s="13" t="s">
        <v>106</v>
      </c>
      <c r="D312" s="13"/>
      <c r="E312" s="22"/>
      <c r="F312" s="17"/>
      <c r="G312" s="38">
        <f>SUM(G313)</f>
        <v>700</v>
      </c>
      <c r="H312" s="38">
        <f>SUM(H313)</f>
        <v>630.235</v>
      </c>
      <c r="I312" s="38">
        <f t="shared" si="9"/>
        <v>90.03357142857143</v>
      </c>
    </row>
    <row r="313" spans="1:9" ht="46.5" customHeight="1">
      <c r="A313" s="33" t="s">
        <v>178</v>
      </c>
      <c r="B313" s="13" t="s">
        <v>45</v>
      </c>
      <c r="C313" s="13" t="s">
        <v>106</v>
      </c>
      <c r="D313" s="13" t="s">
        <v>20</v>
      </c>
      <c r="E313" s="22">
        <v>0</v>
      </c>
      <c r="F313" s="17"/>
      <c r="G313" s="38">
        <f>SUM(G314)</f>
        <v>700</v>
      </c>
      <c r="H313" s="38">
        <f>SUM(H314)</f>
        <v>630.235</v>
      </c>
      <c r="I313" s="38">
        <f t="shared" si="9"/>
        <v>90.03357142857143</v>
      </c>
    </row>
    <row r="314" spans="1:9" ht="31.5">
      <c r="A314" s="33" t="s">
        <v>116</v>
      </c>
      <c r="B314" s="13" t="s">
        <v>45</v>
      </c>
      <c r="C314" s="13" t="s">
        <v>106</v>
      </c>
      <c r="D314" s="13" t="s">
        <v>20</v>
      </c>
      <c r="E314" s="22">
        <v>0</v>
      </c>
      <c r="F314" s="17">
        <v>200</v>
      </c>
      <c r="G314" s="38">
        <f>700-100+100</f>
        <v>700</v>
      </c>
      <c r="H314" s="38">
        <v>630.235</v>
      </c>
      <c r="I314" s="38">
        <f t="shared" si="9"/>
        <v>90.03357142857143</v>
      </c>
    </row>
    <row r="315" spans="1:9" ht="15.75">
      <c r="A315" s="33" t="s">
        <v>107</v>
      </c>
      <c r="B315" s="13" t="s">
        <v>45</v>
      </c>
      <c r="C315" s="13" t="s">
        <v>162</v>
      </c>
      <c r="D315" s="13"/>
      <c r="E315" s="22"/>
      <c r="F315" s="17"/>
      <c r="G315" s="38">
        <f>SUM(G318)</f>
        <v>2359.843</v>
      </c>
      <c r="H315" s="38">
        <f>SUM(H318)</f>
        <v>2099.843</v>
      </c>
      <c r="I315" s="38">
        <f t="shared" si="9"/>
        <v>88.98231789148684</v>
      </c>
    </row>
    <row r="316" spans="1:9" ht="15.75">
      <c r="A316" s="33" t="s">
        <v>219</v>
      </c>
      <c r="B316" s="13" t="s">
        <v>45</v>
      </c>
      <c r="C316" s="13" t="s">
        <v>220</v>
      </c>
      <c r="D316" s="13"/>
      <c r="E316" s="22"/>
      <c r="F316" s="47"/>
      <c r="G316" s="38">
        <v>0</v>
      </c>
      <c r="H316" s="38">
        <v>0</v>
      </c>
      <c r="I316" s="38">
        <v>0</v>
      </c>
    </row>
    <row r="317" spans="1:9" ht="15.75">
      <c r="A317" s="33" t="s">
        <v>108</v>
      </c>
      <c r="B317" s="13" t="s">
        <v>45</v>
      </c>
      <c r="C317" s="13" t="s">
        <v>109</v>
      </c>
      <c r="D317" s="13"/>
      <c r="E317" s="22"/>
      <c r="F317" s="47"/>
      <c r="G317" s="38">
        <f>SUM(G318)</f>
        <v>2359.843</v>
      </c>
      <c r="H317" s="38">
        <f>SUM(H318)</f>
        <v>2099.843</v>
      </c>
      <c r="I317" s="38">
        <f t="shared" si="9"/>
        <v>88.98231789148684</v>
      </c>
    </row>
    <row r="318" spans="1:9" ht="50.25" customHeight="1">
      <c r="A318" s="33" t="s">
        <v>213</v>
      </c>
      <c r="B318" s="13" t="s">
        <v>45</v>
      </c>
      <c r="C318" s="13" t="s">
        <v>109</v>
      </c>
      <c r="D318" s="13" t="s">
        <v>165</v>
      </c>
      <c r="E318" s="22">
        <v>0</v>
      </c>
      <c r="F318" s="17"/>
      <c r="G318" s="38">
        <f>SUM(G319:G320)</f>
        <v>2359.843</v>
      </c>
      <c r="H318" s="38">
        <f>SUM(H319:H320)</f>
        <v>2099.843</v>
      </c>
      <c r="I318" s="38">
        <f t="shared" si="9"/>
        <v>88.98231789148684</v>
      </c>
    </row>
    <row r="319" spans="1:9" ht="33" customHeight="1">
      <c r="A319" s="33" t="s">
        <v>183</v>
      </c>
      <c r="B319" s="13" t="s">
        <v>45</v>
      </c>
      <c r="C319" s="13" t="s">
        <v>109</v>
      </c>
      <c r="D319" s="13" t="s">
        <v>165</v>
      </c>
      <c r="E319" s="22">
        <v>0</v>
      </c>
      <c r="F319" s="17">
        <v>600</v>
      </c>
      <c r="G319" s="38">
        <f>700+500</f>
        <v>1200</v>
      </c>
      <c r="H319" s="38">
        <v>940</v>
      </c>
      <c r="I319" s="38">
        <f t="shared" si="9"/>
        <v>78.33333333333333</v>
      </c>
    </row>
    <row r="320" spans="1:9" ht="129.75" customHeight="1">
      <c r="A320" s="33" t="s">
        <v>232</v>
      </c>
      <c r="B320" s="13" t="s">
        <v>45</v>
      </c>
      <c r="C320" s="13" t="s">
        <v>109</v>
      </c>
      <c r="D320" s="13" t="s">
        <v>165</v>
      </c>
      <c r="E320" s="22">
        <v>0</v>
      </c>
      <c r="F320" s="17">
        <v>600</v>
      </c>
      <c r="G320" s="38">
        <f>1159.843</f>
        <v>1159.843</v>
      </c>
      <c r="H320" s="38">
        <v>1159.843</v>
      </c>
      <c r="I320" s="38">
        <f t="shared" si="9"/>
        <v>100</v>
      </c>
    </row>
    <row r="321" spans="1:9" ht="31.5">
      <c r="A321" s="33" t="s">
        <v>110</v>
      </c>
      <c r="B321" s="13" t="s">
        <v>45</v>
      </c>
      <c r="C321" s="13" t="s">
        <v>163</v>
      </c>
      <c r="D321" s="13"/>
      <c r="E321" s="22"/>
      <c r="F321" s="17"/>
      <c r="G321" s="38">
        <f>SUM(G324)</f>
        <v>200</v>
      </c>
      <c r="H321" s="38">
        <f>SUM(H324)</f>
        <v>0</v>
      </c>
      <c r="I321" s="38">
        <f t="shared" si="9"/>
        <v>0</v>
      </c>
    </row>
    <row r="322" spans="1:9" ht="31.5">
      <c r="A322" s="33" t="s">
        <v>198</v>
      </c>
      <c r="B322" s="13" t="s">
        <v>45</v>
      </c>
      <c r="C322" s="13" t="s">
        <v>112</v>
      </c>
      <c r="D322" s="13"/>
      <c r="E322" s="22"/>
      <c r="F322" s="17"/>
      <c r="G322" s="38">
        <f>SUM(G323)</f>
        <v>200</v>
      </c>
      <c r="H322" s="38">
        <f>SUM(H323)</f>
        <v>0</v>
      </c>
      <c r="I322" s="38">
        <f t="shared" si="9"/>
        <v>0</v>
      </c>
    </row>
    <row r="323" spans="1:9" ht="37.5" customHeight="1">
      <c r="A323" s="33" t="s">
        <v>182</v>
      </c>
      <c r="B323" s="13" t="s">
        <v>45</v>
      </c>
      <c r="C323" s="13" t="s">
        <v>112</v>
      </c>
      <c r="D323" s="13" t="s">
        <v>16</v>
      </c>
      <c r="E323" s="22">
        <v>0</v>
      </c>
      <c r="F323" s="17"/>
      <c r="G323" s="38">
        <f>SUM(G324)</f>
        <v>200</v>
      </c>
      <c r="H323" s="38">
        <f>SUM(H324)</f>
        <v>0</v>
      </c>
      <c r="I323" s="38">
        <f t="shared" si="9"/>
        <v>0</v>
      </c>
    </row>
    <row r="324" spans="1:9" ht="31.5">
      <c r="A324" s="33" t="s">
        <v>199</v>
      </c>
      <c r="B324" s="13" t="s">
        <v>45</v>
      </c>
      <c r="C324" s="13" t="s">
        <v>112</v>
      </c>
      <c r="D324" s="13" t="s">
        <v>16</v>
      </c>
      <c r="E324" s="22">
        <v>0</v>
      </c>
      <c r="F324" s="17">
        <v>700</v>
      </c>
      <c r="G324" s="38">
        <f>500-300</f>
        <v>200</v>
      </c>
      <c r="H324" s="38">
        <f>150-150</f>
        <v>0</v>
      </c>
      <c r="I324" s="38">
        <f t="shared" si="9"/>
        <v>0</v>
      </c>
    </row>
    <row r="325" spans="1:9" ht="37.5" customHeight="1">
      <c r="A325" s="33" t="s">
        <v>200</v>
      </c>
      <c r="B325" s="13" t="s">
        <v>45</v>
      </c>
      <c r="C325" s="13" t="s">
        <v>201</v>
      </c>
      <c r="D325" s="13"/>
      <c r="E325" s="22"/>
      <c r="F325" s="17"/>
      <c r="G325" s="38">
        <f aca="true" t="shared" si="10" ref="G325:H327">SUM(G326)</f>
        <v>6368</v>
      </c>
      <c r="H325" s="38">
        <f t="shared" si="10"/>
        <v>5187.25</v>
      </c>
      <c r="I325" s="38">
        <f t="shared" si="9"/>
        <v>81.4580716080402</v>
      </c>
    </row>
    <row r="326" spans="1:9" ht="19.5" customHeight="1">
      <c r="A326" s="33" t="s">
        <v>202</v>
      </c>
      <c r="B326" s="13" t="s">
        <v>45</v>
      </c>
      <c r="C326" s="13" t="s">
        <v>203</v>
      </c>
      <c r="D326" s="13"/>
      <c r="E326" s="22"/>
      <c r="F326" s="17"/>
      <c r="G326" s="38">
        <f t="shared" si="10"/>
        <v>6368</v>
      </c>
      <c r="H326" s="38">
        <f t="shared" si="10"/>
        <v>5187.25</v>
      </c>
      <c r="I326" s="38">
        <f t="shared" si="9"/>
        <v>81.4580716080402</v>
      </c>
    </row>
    <row r="327" spans="1:9" ht="39" customHeight="1">
      <c r="A327" s="33" t="s">
        <v>182</v>
      </c>
      <c r="B327" s="13" t="s">
        <v>45</v>
      </c>
      <c r="C327" s="13" t="s">
        <v>203</v>
      </c>
      <c r="D327" s="13" t="s">
        <v>16</v>
      </c>
      <c r="E327" s="22">
        <v>0</v>
      </c>
      <c r="F327" s="17"/>
      <c r="G327" s="38">
        <f t="shared" si="10"/>
        <v>6368</v>
      </c>
      <c r="H327" s="38">
        <f t="shared" si="10"/>
        <v>5187.25</v>
      </c>
      <c r="I327" s="38">
        <f t="shared" si="9"/>
        <v>81.4580716080402</v>
      </c>
    </row>
    <row r="328" spans="1:9" ht="15.75">
      <c r="A328" s="33" t="s">
        <v>185</v>
      </c>
      <c r="B328" s="13" t="s">
        <v>45</v>
      </c>
      <c r="C328" s="13" t="s">
        <v>203</v>
      </c>
      <c r="D328" s="13" t="s">
        <v>16</v>
      </c>
      <c r="E328" s="22">
        <v>0</v>
      </c>
      <c r="F328" s="17">
        <v>500</v>
      </c>
      <c r="G328" s="38">
        <f>4723+100+150+1000+395</f>
        <v>6368</v>
      </c>
      <c r="H328" s="38">
        <v>5187.25</v>
      </c>
      <c r="I328" s="38">
        <f t="shared" si="9"/>
        <v>81.4580716080402</v>
      </c>
    </row>
    <row r="329" spans="1:9" ht="15.75">
      <c r="A329" s="33" t="s">
        <v>113</v>
      </c>
      <c r="B329" s="13"/>
      <c r="C329" s="13"/>
      <c r="D329" s="13"/>
      <c r="E329" s="22"/>
      <c r="F329" s="17"/>
      <c r="G329" s="38">
        <f>SUM(G11+G20+G28)</f>
        <v>327769.89719999995</v>
      </c>
      <c r="H329" s="38">
        <f>SUM(H11+H20+H28)</f>
        <v>244986.82833000002</v>
      </c>
      <c r="I329" s="38">
        <f t="shared" si="9"/>
        <v>74.74354125342785</v>
      </c>
    </row>
  </sheetData>
  <sheetProtection/>
  <mergeCells count="8">
    <mergeCell ref="H9:I9"/>
    <mergeCell ref="A1:I1"/>
    <mergeCell ref="A2:I2"/>
    <mergeCell ref="A3:I3"/>
    <mergeCell ref="A4:I4"/>
    <mergeCell ref="A5:I5"/>
    <mergeCell ref="A6:I6"/>
    <mergeCell ref="A7:I7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2017-11-08T11:40:29Z</cp:lastPrinted>
  <dcterms:created xsi:type="dcterms:W3CDTF">2002-03-11T10:22:12Z</dcterms:created>
  <dcterms:modified xsi:type="dcterms:W3CDTF">2017-11-08T11:40:46Z</dcterms:modified>
  <cp:category/>
  <cp:version/>
  <cp:contentType/>
  <cp:contentStatus/>
</cp:coreProperties>
</file>