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595" activeTab="0"/>
  </bookViews>
  <sheets>
    <sheet name="Таблица №10" sheetId="1" r:id="rId1"/>
    <sheet name="Таблица №8" sheetId="2" state="hidden" r:id="rId2"/>
    <sheet name="Таблица №7" sheetId="3" state="hidden" r:id="rId3"/>
    <sheet name="Таблица №12" sheetId="4" state="hidden" r:id="rId4"/>
    <sheet name="Таблица №13" sheetId="5" state="hidden" r:id="rId5"/>
  </sheets>
  <externalReferences>
    <externalReference r:id="rId8"/>
  </externalReferences>
  <definedNames>
    <definedName name="APPT" localSheetId="0">'Таблица №10'!#REF!</definedName>
    <definedName name="APPT" localSheetId="3">'Таблица №12'!#REF!</definedName>
    <definedName name="APPT" localSheetId="4">'Таблица №13'!#REF!</definedName>
    <definedName name="APPT" localSheetId="1">'Таблица №8'!#REF!</definedName>
    <definedName name="FIO" localSheetId="0">'Таблица №10'!#REF!</definedName>
    <definedName name="FIO" localSheetId="3">'Таблица №12'!#REF!</definedName>
    <definedName name="FIO" localSheetId="4">'Таблица №13'!#REF!</definedName>
    <definedName name="FIO" localSheetId="1">'Таблица №8'!#REF!</definedName>
    <definedName name="SIGN" localSheetId="0">'Таблица №10'!$A$22:$E$23</definedName>
    <definedName name="SIGN" localSheetId="3">'Таблица №12'!#REF!</definedName>
    <definedName name="SIGN" localSheetId="4">'Таблица №13'!#REF!</definedName>
    <definedName name="SIGN" localSheetId="1">'Таблица №8'!#REF!</definedName>
  </definedNames>
  <calcPr fullCalcOnLoad="1"/>
</workbook>
</file>

<file path=xl/sharedStrings.xml><?xml version="1.0" encoding="utf-8"?>
<sst xmlns="http://schemas.openxmlformats.org/spreadsheetml/2006/main" count="1684" uniqueCount="350">
  <si>
    <t/>
  </si>
  <si>
    <t>Наименование кода</t>
  </si>
  <si>
    <t>01</t>
  </si>
  <si>
    <t>Центральный аппарат</t>
  </si>
  <si>
    <t>13</t>
  </si>
  <si>
    <t>12</t>
  </si>
  <si>
    <t>02</t>
  </si>
  <si>
    <t>14</t>
  </si>
  <si>
    <t>Подпрограмма</t>
  </si>
  <si>
    <t>0</t>
  </si>
  <si>
    <t>15</t>
  </si>
  <si>
    <t>90</t>
  </si>
  <si>
    <t>03</t>
  </si>
  <si>
    <t>04</t>
  </si>
  <si>
    <t>51</t>
  </si>
  <si>
    <t>05</t>
  </si>
  <si>
    <t>99</t>
  </si>
  <si>
    <t>Мероприятия по обеспечению мобилизационной готовности экономики</t>
  </si>
  <si>
    <t>17</t>
  </si>
  <si>
    <t>52</t>
  </si>
  <si>
    <t>53</t>
  </si>
  <si>
    <t>56</t>
  </si>
  <si>
    <t>58</t>
  </si>
  <si>
    <t>59</t>
  </si>
  <si>
    <t>07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</si>
  <si>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</si>
  <si>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Алексеевская районная Дума</t>
  </si>
  <si>
    <t>901</t>
  </si>
  <si>
    <t>0103</t>
  </si>
  <si>
    <t>0113</t>
  </si>
  <si>
    <t>931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</si>
  <si>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</si>
  <si>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</si>
  <si>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</si>
  <si>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</si>
  <si>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</si>
  <si>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проведения выборов и референдумов</t>
  </si>
  <si>
    <t>Проведение выборов и референдумов</t>
  </si>
  <si>
    <t>Резервные фонды</t>
  </si>
  <si>
    <t>902</t>
  </si>
  <si>
    <t>0104</t>
  </si>
  <si>
    <t>0100</t>
  </si>
  <si>
    <t>0102</t>
  </si>
  <si>
    <t>0105</t>
  </si>
  <si>
    <t>0107</t>
  </si>
  <si>
    <t>0111</t>
  </si>
  <si>
    <t>Другие общегосударственные вопросы</t>
  </si>
  <si>
    <t>Условно утвержденные расходы</t>
  </si>
  <si>
    <t xml:space="preserve">Национальная оборона </t>
  </si>
  <si>
    <t>Мобилизационная подготовка экономики</t>
  </si>
  <si>
    <t>0204</t>
  </si>
  <si>
    <t>0309</t>
  </si>
  <si>
    <t>0409</t>
  </si>
  <si>
    <t>0412</t>
  </si>
  <si>
    <t>Коммунальное хозяйство</t>
  </si>
  <si>
    <t>Жилищно-коммунальное хозяйство</t>
  </si>
  <si>
    <t>0500</t>
  </si>
  <si>
    <t>0502</t>
  </si>
  <si>
    <t>Охрана окружающей среды</t>
  </si>
  <si>
    <t>Другие вопросы в области окружающей среды</t>
  </si>
  <si>
    <t>0400</t>
  </si>
  <si>
    <t>0605</t>
  </si>
  <si>
    <t>Образование</t>
  </si>
  <si>
    <t>Дошкольное образование</t>
  </si>
  <si>
    <t>0701</t>
  </si>
  <si>
    <t>0700</t>
  </si>
  <si>
    <t>0702</t>
  </si>
  <si>
    <t>Школы-детские сады, школы начальные, неполные средние и средние</t>
  </si>
  <si>
    <t>За счет средств областного бюджета на образовательный процесс</t>
  </si>
  <si>
    <t>За счет средств областного бюджета на питание</t>
  </si>
  <si>
    <t>За счет средств бюджета муниципального района</t>
  </si>
  <si>
    <t>Общее образование</t>
  </si>
  <si>
    <t>0707</t>
  </si>
  <si>
    <t>Молодежная политика и оздоровление детей</t>
  </si>
  <si>
    <t>Другие вопросы в области образования</t>
  </si>
  <si>
    <t>0709</t>
  </si>
  <si>
    <t xml:space="preserve">Культура, кинематография </t>
  </si>
  <si>
    <t>Дворцы и дома культуры, другие учреждения культуры</t>
  </si>
  <si>
    <t>Музей</t>
  </si>
  <si>
    <t>Библиотеки</t>
  </si>
  <si>
    <t>Кинематография</t>
  </si>
  <si>
    <t xml:space="preserve">Другие вопросы в области культуры, кинематографии </t>
  </si>
  <si>
    <t>0801</t>
  </si>
  <si>
    <t>0802</t>
  </si>
  <si>
    <t>0804</t>
  </si>
  <si>
    <t>Социальная политика</t>
  </si>
  <si>
    <t>Пенсионное обеспечение</t>
  </si>
  <si>
    <t>Доплаты к пенсии государственных служащих субъектов Российской Федерации и муниципальных служащих</t>
  </si>
  <si>
    <t>1001</t>
  </si>
  <si>
    <t>Социальное обеспечение населения</t>
  </si>
  <si>
    <t>Охрана семьи и детства</t>
  </si>
  <si>
    <t>1003</t>
  </si>
  <si>
    <t>1004</t>
  </si>
  <si>
    <t>Физическая культура и спорт</t>
  </si>
  <si>
    <t>1105</t>
  </si>
  <si>
    <t xml:space="preserve">Средства массовой информации </t>
  </si>
  <si>
    <t>Периодическая печать и издательство</t>
  </si>
  <si>
    <t>1202</t>
  </si>
  <si>
    <t xml:space="preserve">Обслуживание государственного и муниципального долга </t>
  </si>
  <si>
    <t xml:space="preserve">Обслуживание государственного внутреннего и муниципального долга </t>
  </si>
  <si>
    <t>1301</t>
  </si>
  <si>
    <t xml:space="preserve">Всего 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</si>
  <si>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</si>
  <si>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</si>
  <si>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</si>
  <si>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Непрограммные направления обеспечения деятельности органов местного самоуправления Алексеевского муниципального района</t>
  </si>
  <si>
    <t>За счет субвенции на организационное обеспечение деятельности территориальных административных комиссий</t>
  </si>
  <si>
    <t>За счет субвенции на организацию и осуществление деятельности по опеке и попечительству</t>
  </si>
  <si>
    <t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</si>
  <si>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</si>
  <si>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t>
  </si>
  <si>
    <t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t>
  </si>
  <si>
    <t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t>
  </si>
  <si>
    <t>на выплату пособий по опеке и попечительству</t>
  </si>
  <si>
    <t xml:space="preserve">на вознаграждение за труд, причитающегося приемным родителям (патронатному воспитателю), и предоставление им мер социальной поддержки </t>
  </si>
  <si>
    <t>0200</t>
  </si>
  <si>
    <t>0300</t>
  </si>
  <si>
    <t>0600</t>
  </si>
  <si>
    <t>0800</t>
  </si>
  <si>
    <t>Культура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</si>
  <si>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</si>
  <si>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</si>
  <si>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</si>
  <si>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</si>
  <si>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Таблица №8</t>
  </si>
  <si>
    <t xml:space="preserve"> приложения №1 Решения</t>
  </si>
  <si>
    <t xml:space="preserve"> Алексеевской  районной Думы</t>
  </si>
  <si>
    <t xml:space="preserve">                                                                                                      </t>
  </si>
  <si>
    <t>Код</t>
  </si>
  <si>
    <t>Наименование</t>
  </si>
  <si>
    <t>Общегосударственные вопросы</t>
  </si>
  <si>
    <t>Функционирование высшего должностного лица муниципальных образований</t>
  </si>
  <si>
    <t>Функционирование представительных органов муниципальных образований</t>
  </si>
  <si>
    <t>Функционирование местных администраций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</si>
  <si>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</si>
  <si>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Резервный фонд</t>
  </si>
  <si>
    <t>Национальная оборона</t>
  </si>
  <si>
    <t>Жилищно – коммунальное хозяйство</t>
  </si>
  <si>
    <t>0503</t>
  </si>
  <si>
    <t>Благоустройство</t>
  </si>
  <si>
    <t>Культура, кинематография</t>
  </si>
  <si>
    <t>Борьба с беспризорностью, опека, попечительство</t>
  </si>
  <si>
    <t>1100</t>
  </si>
  <si>
    <t>1200</t>
  </si>
  <si>
    <t>1300</t>
  </si>
  <si>
    <t>Итого</t>
  </si>
  <si>
    <t>61</t>
  </si>
  <si>
    <t>к приложению № 1 Решения</t>
  </si>
  <si>
    <t>Алексеевской районной Думы</t>
  </si>
  <si>
    <t>Иные бюджетные ассигнования</t>
  </si>
  <si>
    <t>Сельское хозяйство и рыболовство</t>
  </si>
  <si>
    <t>0405</t>
  </si>
  <si>
    <t>000</t>
  </si>
  <si>
    <t>За счет средств областного бюджета на осуществление образовательного процесса муниципальными дошкольными образовательными организациями</t>
  </si>
  <si>
    <t>18</t>
  </si>
  <si>
    <t>200</t>
  </si>
  <si>
    <t>20</t>
  </si>
  <si>
    <t>от "__"_____________№________</t>
  </si>
  <si>
    <t>от "__"_______________№________</t>
  </si>
  <si>
    <t>Группа вида рас-ходов</t>
  </si>
  <si>
    <t>Непрограммные расходы органов местного самоуправления Алексеевского муниципального района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</si>
  <si>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</si>
  <si>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</si>
  <si>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</si>
  <si>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Капитальные вложения в объекты государственной (муниципальной) собственности</t>
  </si>
  <si>
    <t>За счет средств на расходы на осуществление социальных гарантий молодым специалистам</t>
  </si>
  <si>
    <t xml:space="preserve">За счет средств областного бюджета </t>
  </si>
  <si>
    <t>Подпрограмма "Комплексные меры по противодействию наркомании"</t>
  </si>
  <si>
    <t>Подпрограмма "Реализация мероприятий молодежной политики и социальной адаптации молодежи "</t>
  </si>
  <si>
    <t>Организация отдыха детей в лагерях дневного пребывания</t>
  </si>
  <si>
    <t>Субсидия на организацию отдыха детей в каникулярный период в лагерях дневного пребывания на базе муниципальных образовательных организаций</t>
  </si>
  <si>
    <t>1000</t>
  </si>
  <si>
    <t>Обслуживание государственного внутреннего и муниципального долга</t>
  </si>
  <si>
    <t>Группа вида расходов</t>
  </si>
  <si>
    <t>Межбюджетные трансферты общего характера бюджетам бюджетной системы Российской Федерации</t>
  </si>
  <si>
    <t>1400</t>
  </si>
  <si>
    <t>Прочие межбюджетные трансферты общего характера</t>
  </si>
  <si>
    <t>1403</t>
  </si>
  <si>
    <t>100</t>
  </si>
  <si>
    <t>800</t>
  </si>
  <si>
    <t>600</t>
  </si>
  <si>
    <t>Основное мероприятие</t>
  </si>
  <si>
    <t xml:space="preserve">Программа </t>
  </si>
  <si>
    <t>00</t>
  </si>
  <si>
    <t>Ведомство</t>
  </si>
  <si>
    <t>Раздел</t>
  </si>
  <si>
    <t>1</t>
  </si>
  <si>
    <t>2</t>
  </si>
  <si>
    <t>3</t>
  </si>
  <si>
    <t>Основное мероприятие "Развитие муниципальной службы"</t>
  </si>
  <si>
    <t>23</t>
  </si>
  <si>
    <t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t>
  </si>
  <si>
    <t>Подпрограмма "Энергосбережение и повышение энергетической эффективности Алексеевского муниципального района"</t>
  </si>
  <si>
    <t>Основное мероприятие "Мероприятия в области жилищно- коммунального хозяйства"</t>
  </si>
  <si>
    <t>4</t>
  </si>
  <si>
    <t>Основное мероприятие "Нормативно-правовое обеспечение и развитие инфраструктуры поддержки субъектов малого предпринимательства"</t>
  </si>
  <si>
    <t>Основное мероприятие "Финансовая поддержка субъектов малого предпринимательства в виде субсидирования"</t>
  </si>
  <si>
    <t>Основное мероприятие "Мероприятия молодежной политики и социальной адаптации молодежи"</t>
  </si>
  <si>
    <t>Основное мероприятие "Обеспечение благоприятных условий для расширения производства изделий народных художественных промыслов в Алексеевском районе"</t>
  </si>
  <si>
    <t>Основное мероприятие "Мероприятия в области развития и возрождения казачества"</t>
  </si>
  <si>
    <t>Основное мероприятие "Предоставление субсидии из бюджета муниципального образования на погашение процентных платежей по кредиту, полученному в кредитной организации на строительство (приобретение) жилья, а также в возмещении части арендной платы за жилье молодым специалистам, работающим в Алексеевском муниципальном районе"</t>
  </si>
  <si>
    <t>Основное мероприятие "Развитие физической культуры и спорта среди дошкольных, общеобразовательных учреждений и взрослого населения на территории Алексеевского муниципального района "</t>
  </si>
  <si>
    <t>Основное мероприятие "Повышение эффективности работы по предупреждению проявления экстремизма и терроризма"</t>
  </si>
  <si>
    <t>Телевидение и радиовещание</t>
  </si>
  <si>
    <t>1201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</si>
  <si>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</si>
  <si>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t>
  </si>
  <si>
    <t>Основное мероприятие "Мероприятия по ремонту объектов муниципальной собственности"</t>
  </si>
  <si>
    <t>Подпрограмма «Строительство, реконструкция и ремонт объектов муниципальной собственности Алексеевского муниципального района»</t>
  </si>
  <si>
    <t>Подпрограмма "Строительство, реконструкция и ремонт объектов муниципальной собственности Алексеевского муниципального района"</t>
  </si>
  <si>
    <t>22</t>
  </si>
  <si>
    <t>08</t>
  </si>
  <si>
    <t>300</t>
  </si>
  <si>
    <t>Основное мероприятие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"</t>
  </si>
  <si>
    <t>Дополнительное образование детей</t>
  </si>
  <si>
    <t>0703</t>
  </si>
  <si>
    <t>Основное мероприятие "Мероприятия в области строительства, реконструкции объектов муниципальной собственности"</t>
  </si>
  <si>
    <t>Здравоохранение</t>
  </si>
  <si>
    <t>0900</t>
  </si>
  <si>
    <t>Амбулаторная помощь</t>
  </si>
  <si>
    <t>0902</t>
  </si>
  <si>
    <t>Ведомственная целевая программа</t>
  </si>
  <si>
    <t>1101</t>
  </si>
  <si>
    <t>Другие вопросы в области физической культуры и спорта</t>
  </si>
  <si>
    <t>Основное мероприятие "Мероприятия по подготовке к отопительному сезону объектов социальной сферы"</t>
  </si>
  <si>
    <t>Основное мероприятие "Информирование, консультирование и оказание правовой помощи работникам и работодателям по вопросам охраны труда, пропаганда и популяризация мер по охране труда"</t>
  </si>
  <si>
    <t>21</t>
  </si>
  <si>
    <t>Муниципальная программа "Улучшение условий и охраны труда в Алексеевском муниципальном районе на 2017-2019 годы"</t>
  </si>
  <si>
    <t>Муниципальная программа и непрограммное направление</t>
  </si>
  <si>
    <t>Таблица №12</t>
  </si>
  <si>
    <t>Таблица № 10</t>
  </si>
  <si>
    <t>Таблица № 8</t>
  </si>
  <si>
    <t>Таблица №7</t>
  </si>
  <si>
    <t>Таблица №13</t>
  </si>
  <si>
    <t>1006</t>
  </si>
  <si>
    <t>Другие вопросы в области социальной политики</t>
  </si>
  <si>
    <t>За счет субвенции на создание, исполнение функций и обеспечение деятельности муниципальных комиссий по делам несовершеннолетних и защите их прав</t>
  </si>
  <si>
    <t>Реализация государственных функций, связанных с общегосударственным управлением</t>
  </si>
  <si>
    <t>Оценка недвижимости, признание прав и регулирование отношений по муниципальной собственности</t>
  </si>
  <si>
    <t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t>
  </si>
  <si>
    <t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t>
  </si>
  <si>
    <t>Подпрограмма " Профилактика безнадзорности, правонарушений и неблагополучия несовершеннолетних"</t>
  </si>
  <si>
    <t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t>
  </si>
  <si>
    <t>Государственная регистрация актов гражданского состояния</t>
  </si>
  <si>
    <t>За счет субвенции на деятельность на хранение, комплектование, учет и использование архивных документов и архивных фондов, отнесенных к составу архивного фонда Волгоградской области</t>
  </si>
  <si>
    <t>Основное мероприятие " Мероприятия, направленные на профилактику безнадзорности и правонарушений несовершеннолетних"</t>
  </si>
  <si>
    <t>Основное мероприятие " Мероприятия, направленные на стабилизацию обстановки в семье, оказавшейся в социально опасном положении"</t>
  </si>
  <si>
    <t>Основное мероприятие " Мероприятия, направленные на формирование среды, доброжелательной к детям"</t>
  </si>
  <si>
    <t>Основное мероприятие "Мероприятия по строительству, реконструкции, ремонту и проектированию автомобильных дорог общего пользования местного значения"</t>
  </si>
  <si>
    <t>Основное мероприятие "Проведении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общеобразовательных организаций и дошкольных образовательных организаций Алексеевского муниципального района "</t>
  </si>
  <si>
    <t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t>
  </si>
  <si>
    <t>Администрация Алексеевского муниципального района</t>
  </si>
  <si>
    <t>Основное мероприятие "Профилактические мероприятия, направленные на борьбу с наркоманией и распространением наркотиков"</t>
  </si>
  <si>
    <t>Основное мероприятие "Финансовая поддержка молодежи, имеющей способности к ведению предпринимательской деятельности в виде денежных грантов"</t>
  </si>
  <si>
    <t xml:space="preserve"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t>
  </si>
  <si>
    <t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t>
  </si>
  <si>
    <t>2021 год</t>
  </si>
  <si>
    <t>Муниципальная программа "Охрана окружающей среды Алексеевского муниципального района на 2019-2023 годы"</t>
  </si>
  <si>
    <t>Муниципальная программа "Развитие физической культуры и спорта в Алексеевском муниципальном районе на 2019-2023 годы"</t>
  </si>
  <si>
    <t>Муниципальная программа "Маршрут Победы на 2019-2023 годы"</t>
  </si>
  <si>
    <t>Муниципальная программа "Развитие и поддержка малого предпринимательства Алексеевского муниципального района на 2019-2023 годы "</t>
  </si>
  <si>
    <t>Муниципальная программа "О поддержке деятельности казачьих обществ Алексеевского муниципального района на 2019-2023 годы"</t>
  </si>
  <si>
    <t>Муниципальная программа "Развитие муниципальной службы в администрации Алексеевского муниципального района Волгоградской области на 2019-2023 годы"</t>
  </si>
  <si>
    <t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t>
  </si>
  <si>
    <t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t>
  </si>
  <si>
    <t>Муниципальная программа "Профилактика терроризма и экстремизма на территории Алексеевского муниципального района на 2019-2023 годы"</t>
  </si>
  <si>
    <t>Муниципальная программа "Молодой семье – доступное жилье на территории Алексеевского муниципального района на 2019-2020 годы"</t>
  </si>
  <si>
    <t>11</t>
  </si>
  <si>
    <t>Основное мероприятие "Предоставление молодым семьям-участникам Программы социальных выплат на приобретение (строительство)жилья"</t>
  </si>
  <si>
    <t>Премии и гранты</t>
  </si>
  <si>
    <t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2019-2021 годы"</t>
  </si>
  <si>
    <t>Ведомственная целевая программа "Молодежная политика на территории Алексеевского муниципального района на 2019-2021 годы" (СДЦ)</t>
  </si>
  <si>
    <t>Ведомственная целевая программа "Развитие культуры и искусства в Алексеевском муниципальном районе на 2019-2021 годы"</t>
  </si>
  <si>
    <t>Ведомственная целевая программа "Поддержка средств массовой информации в Алексеевском муниципальном районе на 2019-2021 годы"</t>
  </si>
  <si>
    <t>Муниципальная программа "Инвестиционная программа по жилищно-коммунальному хозяйству Алексеевского муниципального района на 2019-2021 годы"</t>
  </si>
  <si>
    <t>Муниципальная программа "Развитие народных художественных промыслов Алексеевского муниципального района на 2019-2023 годы"</t>
  </si>
  <si>
    <t>Ведомственная целевая программа "Развитие дошкольного образования детей на территории Алексеевского муниципального района на 2019-2021 годы"</t>
  </si>
  <si>
    <t xml:space="preserve"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2019-2021 годы" </t>
  </si>
  <si>
    <t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t>
  </si>
  <si>
    <t>Основное мероприятие "Строительство контейнерных площадок для сбора твердых коммунальных отходов"</t>
  </si>
  <si>
    <t>Основное мероприятие "Реализация мероприятий по поддержке участников и ветеранов боевых действий, ветеранов военной службы,семей погибших, ветеранов труда, инвалидов, детей-инвалидов"</t>
  </si>
  <si>
    <t>Подпрограмма "Профилактика правонарушений"</t>
  </si>
  <si>
    <t>Подпрограмма "Формирование законопослушного поведения участников дорожного движения"</t>
  </si>
  <si>
    <t>Основное мероприятие "Проведение работ по обеспечению безопасности дорожного движения в границах Алексеевского муниципального района"</t>
  </si>
  <si>
    <t>09</t>
  </si>
  <si>
    <t>Основное мероприятие "Описание границ населённых пунктов Алексеевского муниципального района и границы поселении в координатах характерных точек, внесение сведений о границах в государственный кадастр недвижимости путем передачи полномочий из муниципального района сельским поселениям "</t>
  </si>
  <si>
    <t>Основное мероприятие "Мероприятия в области строительства, архитектуры, градостроения, землеустройства и землепользования "</t>
  </si>
  <si>
    <t>Основное мероприятие "Мероприятия общепрофилактической направленности"</t>
  </si>
  <si>
    <t>Под про грам ма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</si>
  <si>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</si>
  <si>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>Межбюджетные трансферты за счет средств субсидии на реализацию мероприятий в сфере дорожной деятельности</t>
  </si>
  <si>
    <t>400</t>
  </si>
  <si>
    <t>Основное мероприятие "Экологическое воспитание и образование"</t>
  </si>
  <si>
    <t>2022 год</t>
  </si>
  <si>
    <t>Изме нения 2021 год</t>
  </si>
  <si>
    <t>1102</t>
  </si>
  <si>
    <t>Массовый спорт</t>
  </si>
  <si>
    <t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t>
  </si>
  <si>
    <t>Муниципальная программа "Комплексное развитие сельских территорий"</t>
  </si>
  <si>
    <t>Капитальные вложения в объекты государственной (муниципальной) собственности (софинансирование)</t>
  </si>
  <si>
    <t>Основное мероприятие "Обеспечение комплексного развития сельских территорий"</t>
  </si>
  <si>
    <t>Основное мероприятие "Благоустройство сельских территорий"</t>
  </si>
  <si>
    <t xml:space="preserve">Физическая культура </t>
  </si>
  <si>
    <t>Основное мероприятие "Приобретение и замена осветительных приборов, а также выполнение необходимых для этого работ в зданиях муниципальных образовательных организаций"</t>
  </si>
  <si>
    <t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</si>
  <si>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 и (или) перепрофилирование групп и (или)приобретение оборудования и (или) оснащение образовательных организаций, реализующих программы дошкольного образования, в которых планируется открытие мест для детей в возрасте от 1,5 лет до 3 лет </t>
  </si>
  <si>
    <t xml:space="preserve">Основное мероприятие "Региональный проект "Создание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 (Волгоградская область)" </t>
  </si>
  <si>
    <t>Р5</t>
  </si>
  <si>
    <t>Е2</t>
  </si>
  <si>
    <t xml:space="preserve">Основное мероприятие "Региональный проект "Создание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годы. (Ремонт спортивного зала в МБОУ Рябовская СШ Алексеевского района Волгоградской области в 2020 году)" </t>
  </si>
  <si>
    <t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</si>
  <si>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</si>
  <si>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t>
  </si>
  <si>
    <t>тыс. рублей </t>
  </si>
  <si>
    <t>Закупка товаров, работ и услуг для государственных (муниципальных) нужд (софинансирование)</t>
  </si>
  <si>
    <t>Субсидия местным бюджетам на оснащение объектов спортивной инфраструктуры спортивно-технологическим оборудованием</t>
  </si>
  <si>
    <t xml:space="preserve">Обслуживание государственного (муниципального) долга 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</si>
  <si>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</si>
  <si>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>Закупка товаров, работ и услуг для государственных (муниципальных) нужд за счет субсидий на реализацию проектов комплексного развития сельских территорий</t>
  </si>
  <si>
    <t>Основное мероприятие "Повышение уровня финансовой грамотности обучающихся 4 – 11 классов по программе, разработанной Минфином «Содействие повышению уровня финансовой грамотности населению и развитию финансового образования в Российской Федерации 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</si>
  <si>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</si>
  <si>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Субсидия на реализацию мероприятий в сфере дорожной деятельности (с учетом доли софинансирования)</t>
  </si>
  <si>
    <t>Контрольно-счетная комиссия Алексеевского муниципального района</t>
  </si>
  <si>
    <t>Предоставление субсидий бюджетным, автономным учреждениям и иным некоммерческим организациям (мероприятия по обеспечению персонифицированного финансирования)</t>
  </si>
  <si>
    <t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t>
  </si>
  <si>
    <t>Предоставление субсидий бюджетным, автономным учреждениям и иным некоммерческим организациям(реализация мероприятий по организации бесплатного горячего питания обучающихся, получающих начальное общее образование)</t>
  </si>
  <si>
    <t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</si>
  <si>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>Предоставление субсидий бюджетным, автономным учреждениям и иным некоммерческим организациям(софинансирование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</si>
  <si>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</si>
  <si>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t>
  </si>
  <si>
    <t>За счет средств субсидии на дооснощение действующих объектов физической культуры и спорта оборудованием для лиц с ограниченными возможностями здоровья</t>
  </si>
  <si>
    <t>Осуществление полномочий по подготовке и проведению переписи в 2021 году</t>
  </si>
  <si>
    <t>Распределение бюджетных ассигнований на реализацию муниципальных целевых программ на 2021 год и плановый период 2022-2023 годы</t>
  </si>
  <si>
    <t>2023 год</t>
  </si>
  <si>
    <t>Распределение бюджетных ассигнований на реализацию ведомственных целевых программ на 2021 год и плановый период 2022-2023 годов</t>
  </si>
  <si>
    <t>Распределение бюджетных ассигнований по разделам, подразделам, целевым статьям и видам расходов бюджета в составе ведомственной структуры расходов районного бюджета на 2021 год и плановый период   2022-2023 годы</t>
  </si>
  <si>
    <t>Изме нения 2022 год</t>
  </si>
  <si>
    <t>Распределение бюджетных ассигнований по разделам и подразделам, целевым статьям и видам расходов районного бюджета на 2021 год и плановый период 2022-2023 годов</t>
  </si>
  <si>
    <t>Распределение бюджетных ассигнований                                                                                                                                                          по разделам и по подразделам классификации расходов районного бюджета на 2021 год и на плановый период 2022 - 2023 годы</t>
  </si>
  <si>
    <t>Подпрограмма "Развитие дошкольного образования детей"</t>
  </si>
  <si>
    <t>Ведомственная целевая программа "Развитие образования детей на территории  Алексеевского муниципального района на 2020-2022 годы"</t>
  </si>
  <si>
    <t>Подпрограмма "Развитие общего образования детей"</t>
  </si>
  <si>
    <t>Подпрограмма "Развитие дополнительного образования детей"</t>
  </si>
  <si>
    <t>Предоставление субсидий бюджетным, автономным учреждениям и иным некоммерческим организациям  (ДШИ)</t>
  </si>
  <si>
    <t>Предоставление субсидий бюджетным, автономным учреждениям и иным некоммерческим организациям  (ДЮСШ)</t>
  </si>
  <si>
    <t>Муниципальная программа "Градостроительная политика на территории Алексеевского муниципального района на 2019–2021 годы"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</si>
  <si>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</si>
  <si>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</si>
  <si>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Гражданская оборона</t>
  </si>
  <si>
    <t>от  15.12.2020 г. № 18/122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</si>
</sst>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"/>
    <numFmt numFmtId="173" formatCode="0.0"/>
    <numFmt numFmtId="174" formatCode="0.00000"/>
    <numFmt numFmtId="175" formatCode="0.0000"/>
    <numFmt numFmtId="176" formatCode="0.000"/>
    <numFmt numFmtId="177" formatCode="#,##0.0_р_."/>
    <numFmt numFmtId="178" formatCode="#,##0.0"/>
    <numFmt numFmtId="179" formatCode="000"/>
    <numFmt numFmtId="180" formatCode="0.000000"/>
    <numFmt numFmtId="181" formatCode="#,##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/mm/yyyy\ hh:mm"/>
    <numFmt numFmtId="187" formatCode="?"/>
    <numFmt numFmtId="188" formatCode="#,##0.00000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4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13"/>
      <name val="Arial"/>
      <family val="2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0" xfId="0" applyFont="1" applyFill="1" applyAlignment="1">
      <alignment/>
    </xf>
    <xf numFmtId="1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top" wrapText="1"/>
    </xf>
    <xf numFmtId="0" fontId="4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72" fontId="2" fillId="0" borderId="0" xfId="0" applyNumberFormat="1" applyFont="1" applyAlignment="1">
      <alignment horizontal="center" vertical="top" wrapText="1"/>
    </xf>
    <xf numFmtId="172" fontId="0" fillId="0" borderId="0" xfId="0" applyNumberFormat="1" applyFont="1" applyAlignment="1">
      <alignment horizontal="center"/>
    </xf>
    <xf numFmtId="0" fontId="61" fillId="0" borderId="0" xfId="0" applyFont="1" applyFill="1" applyAlignment="1">
      <alignment/>
    </xf>
    <xf numFmtId="0" fontId="0" fillId="33" borderId="0" xfId="0" applyFill="1" applyAlignment="1">
      <alignment/>
    </xf>
    <xf numFmtId="0" fontId="5" fillId="0" borderId="0" xfId="0" applyNumberFormat="1" applyFont="1" applyAlignment="1">
      <alignment horizontal="left"/>
    </xf>
    <xf numFmtId="0" fontId="9" fillId="34" borderId="0" xfId="53" applyFont="1" applyFill="1" applyAlignment="1">
      <alignment horizontal="right"/>
      <protection/>
    </xf>
    <xf numFmtId="0" fontId="9" fillId="34" borderId="0" xfId="53" applyFont="1" applyFill="1">
      <alignment/>
      <protection/>
    </xf>
    <xf numFmtId="0" fontId="42" fillId="0" borderId="0" xfId="53">
      <alignment/>
      <protection/>
    </xf>
    <xf numFmtId="0" fontId="9" fillId="34" borderId="0" xfId="53" applyFont="1" applyFill="1" applyAlignment="1">
      <alignment horizontal="center"/>
      <protection/>
    </xf>
    <xf numFmtId="0" fontId="10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173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1" fontId="1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1" fontId="2" fillId="0" borderId="0" xfId="0" applyNumberFormat="1" applyFont="1" applyFill="1" applyAlignment="1">
      <alignment horizontal="center" vertical="top" wrapText="1"/>
    </xf>
    <xf numFmtId="1" fontId="0" fillId="0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 vertical="top" wrapText="1"/>
    </xf>
    <xf numFmtId="0" fontId="2" fillId="33" borderId="0" xfId="0" applyFont="1" applyFill="1" applyAlignment="1">
      <alignment horizontal="center" vertical="top" wrapText="1"/>
    </xf>
    <xf numFmtId="1" fontId="2" fillId="33" borderId="0" xfId="0" applyNumberFormat="1" applyFont="1" applyFill="1" applyAlignment="1">
      <alignment horizontal="center" vertical="top" wrapText="1"/>
    </xf>
    <xf numFmtId="172" fontId="2" fillId="33" borderId="0" xfId="0" applyNumberFormat="1" applyFont="1" applyFill="1" applyAlignment="1">
      <alignment horizontal="center" vertical="top" wrapText="1"/>
    </xf>
    <xf numFmtId="0" fontId="2" fillId="33" borderId="0" xfId="0" applyNumberFormat="1" applyFont="1" applyFill="1" applyAlignment="1">
      <alignment horizontal="left" vertical="top" wrapText="1"/>
    </xf>
    <xf numFmtId="172" fontId="12" fillId="0" borderId="10" xfId="0" applyNumberFormat="1" applyFont="1" applyBorder="1" applyAlignment="1">
      <alignment horizontal="center" vertical="center" wrapText="1"/>
    </xf>
    <xf numFmtId="0" fontId="12" fillId="33" borderId="11" xfId="0" applyNumberFormat="1" applyFont="1" applyFill="1" applyBorder="1" applyAlignment="1">
      <alignment horizontal="center" vertical="center" wrapText="1"/>
    </xf>
    <xf numFmtId="173" fontId="0" fillId="0" borderId="0" xfId="0" applyNumberFormat="1" applyFont="1" applyAlignment="1">
      <alignment horizontal="right"/>
    </xf>
    <xf numFmtId="1" fontId="12" fillId="33" borderId="11" xfId="0" applyNumberFormat="1" applyFont="1" applyFill="1" applyBorder="1" applyAlignment="1">
      <alignment horizontal="center" vertical="top" wrapText="1"/>
    </xf>
    <xf numFmtId="0" fontId="11" fillId="0" borderId="10" xfId="0" applyNumberFormat="1" applyFont="1" applyBorder="1" applyAlignment="1">
      <alignment horizontal="center" vertical="top" wrapText="1"/>
    </xf>
    <xf numFmtId="0" fontId="12" fillId="33" borderId="11" xfId="0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1" fontId="11" fillId="33" borderId="11" xfId="0" applyNumberFormat="1" applyFont="1" applyFill="1" applyBorder="1" applyAlignment="1">
      <alignment horizontal="center" vertical="center" wrapText="1"/>
    </xf>
    <xf numFmtId="0" fontId="7" fillId="34" borderId="11" xfId="53" applyFont="1" applyFill="1" applyBorder="1" applyAlignment="1">
      <alignment horizontal="center" vertical="top" wrapText="1"/>
      <protection/>
    </xf>
    <xf numFmtId="0" fontId="11" fillId="33" borderId="11" xfId="0" applyNumberFormat="1" applyFont="1" applyFill="1" applyBorder="1" applyAlignment="1">
      <alignment horizontal="center" vertical="center" wrapText="1"/>
    </xf>
    <xf numFmtId="174" fontId="7" fillId="0" borderId="11" xfId="0" applyNumberFormat="1" applyFont="1" applyFill="1" applyBorder="1" applyAlignment="1">
      <alignment horizontal="right" vertical="center" wrapText="1"/>
    </xf>
    <xf numFmtId="0" fontId="4" fillId="34" borderId="11" xfId="53" applyFont="1" applyFill="1" applyBorder="1" applyAlignment="1">
      <alignment horizontal="left" vertical="top" wrapText="1"/>
      <protection/>
    </xf>
    <xf numFmtId="173" fontId="12" fillId="34" borderId="11" xfId="53" applyNumberFormat="1" applyFont="1" applyFill="1" applyBorder="1" applyAlignment="1">
      <alignment horizontal="right" vertical="center" wrapText="1"/>
      <protection/>
    </xf>
    <xf numFmtId="49" fontId="4" fillId="34" borderId="11" xfId="53" applyNumberFormat="1" applyFont="1" applyFill="1" applyBorder="1" applyAlignment="1">
      <alignment horizontal="left" vertical="top" wrapText="1"/>
      <protection/>
    </xf>
    <xf numFmtId="49" fontId="13" fillId="0" borderId="11" xfId="0" applyNumberFormat="1" applyFont="1" applyFill="1" applyBorder="1" applyAlignment="1">
      <alignment horizontal="center" vertical="top" wrapText="1"/>
    </xf>
    <xf numFmtId="0" fontId="11" fillId="33" borderId="11" xfId="0" applyNumberFormat="1" applyFont="1" applyFill="1" applyBorder="1" applyAlignment="1">
      <alignment vertical="top" wrapText="1"/>
    </xf>
    <xf numFmtId="0" fontId="11" fillId="33" borderId="11" xfId="0" applyFont="1" applyFill="1" applyBorder="1" applyAlignment="1">
      <alignment vertical="top" wrapText="1"/>
    </xf>
    <xf numFmtId="172" fontId="6" fillId="0" borderId="10" xfId="0" applyNumberFormat="1" applyFont="1" applyBorder="1" applyAlignment="1">
      <alignment horizontal="center" vertical="center" wrapText="1"/>
    </xf>
    <xf numFmtId="0" fontId="11" fillId="33" borderId="11" xfId="0" applyNumberFormat="1" applyFont="1" applyFill="1" applyBorder="1" applyAlignment="1">
      <alignment horizontal="left" vertical="top" wrapText="1"/>
    </xf>
    <xf numFmtId="0" fontId="14" fillId="33" borderId="11" xfId="0" applyNumberFormat="1" applyFont="1" applyFill="1" applyBorder="1" applyAlignment="1">
      <alignment horizontal="left" vertical="top" wrapText="1"/>
    </xf>
    <xf numFmtId="0" fontId="14" fillId="33" borderId="11" xfId="0" applyFont="1" applyFill="1" applyBorder="1" applyAlignment="1">
      <alignment vertical="top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1" fontId="11" fillId="33" borderId="10" xfId="0" applyNumberFormat="1" applyFont="1" applyFill="1" applyBorder="1" applyAlignment="1">
      <alignment horizontal="center" vertical="center" wrapText="1"/>
    </xf>
    <xf numFmtId="0" fontId="62" fillId="33" borderId="11" xfId="0" applyNumberFormat="1" applyFont="1" applyFill="1" applyBorder="1" applyAlignment="1">
      <alignment horizontal="left" vertical="top" wrapText="1"/>
    </xf>
    <xf numFmtId="0" fontId="63" fillId="33" borderId="11" xfId="0" applyNumberFormat="1" applyFont="1" applyFill="1" applyBorder="1" applyAlignment="1">
      <alignment horizontal="left" vertical="top" wrapText="1"/>
    </xf>
    <xf numFmtId="0" fontId="64" fillId="33" borderId="11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 horizontal="right"/>
    </xf>
    <xf numFmtId="172" fontId="3" fillId="0" borderId="0" xfId="0" applyNumberFormat="1" applyFont="1" applyAlignment="1">
      <alignment horizontal="center"/>
    </xf>
    <xf numFmtId="0" fontId="9" fillId="33" borderId="0" xfId="0" applyNumberFormat="1" applyFont="1" applyFill="1" applyAlignment="1">
      <alignment horizont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9" fillId="0" borderId="0" xfId="0" applyFont="1" applyAlignment="1">
      <alignment/>
    </xf>
    <xf numFmtId="1" fontId="15" fillId="0" borderId="0" xfId="0" applyNumberFormat="1" applyFont="1" applyAlignment="1">
      <alignment horizontal="right"/>
    </xf>
    <xf numFmtId="173" fontId="11" fillId="33" borderId="11" xfId="0" applyNumberFormat="1" applyFont="1" applyFill="1" applyBorder="1" applyAlignment="1">
      <alignment horizontal="right" wrapText="1"/>
    </xf>
    <xf numFmtId="0" fontId="11" fillId="0" borderId="11" xfId="0" applyFont="1" applyFill="1" applyBorder="1" applyAlignment="1">
      <alignment vertical="top" wrapText="1"/>
    </xf>
    <xf numFmtId="0" fontId="11" fillId="0" borderId="11" xfId="0" applyNumberFormat="1" applyFont="1" applyFill="1" applyBorder="1" applyAlignment="1">
      <alignment vertical="top" wrapText="1"/>
    </xf>
    <xf numFmtId="49" fontId="11" fillId="0" borderId="11" xfId="0" applyNumberFormat="1" applyFont="1" applyFill="1" applyBorder="1" applyAlignment="1">
      <alignment horizontal="right" vertical="center" wrapText="1"/>
    </xf>
    <xf numFmtId="1" fontId="11" fillId="0" borderId="11" xfId="0" applyNumberFormat="1" applyFont="1" applyFill="1" applyBorder="1" applyAlignment="1">
      <alignment horizontal="right" vertical="center" wrapText="1"/>
    </xf>
    <xf numFmtId="0" fontId="11" fillId="0" borderId="11" xfId="0" applyNumberFormat="1" applyFont="1" applyFill="1" applyBorder="1" applyAlignment="1">
      <alignment horizontal="right" vertical="center" wrapText="1"/>
    </xf>
    <xf numFmtId="0" fontId="11" fillId="0" borderId="11" xfId="0" applyNumberFormat="1" applyFont="1" applyFill="1" applyBorder="1" applyAlignment="1">
      <alignment horizontal="right" vertical="center"/>
    </xf>
    <xf numFmtId="173" fontId="11" fillId="33" borderId="11" xfId="0" applyNumberFormat="1" applyFont="1" applyFill="1" applyBorder="1" applyAlignment="1">
      <alignment horizontal="right" vertical="center" wrapText="1"/>
    </xf>
    <xf numFmtId="49" fontId="14" fillId="33" borderId="11" xfId="0" applyNumberFormat="1" applyFont="1" applyFill="1" applyBorder="1" applyAlignment="1">
      <alignment horizontal="center" vertical="center" wrapText="1"/>
    </xf>
    <xf numFmtId="173" fontId="14" fillId="33" borderId="11" xfId="0" applyNumberFormat="1" applyFont="1" applyFill="1" applyBorder="1" applyAlignment="1">
      <alignment horizontal="right" vertical="center" wrapText="1"/>
    </xf>
    <xf numFmtId="1" fontId="14" fillId="33" borderId="11" xfId="0" applyNumberFormat="1" applyFont="1" applyFill="1" applyBorder="1" applyAlignment="1">
      <alignment horizontal="center" vertical="center" wrapText="1"/>
    </xf>
    <xf numFmtId="0" fontId="14" fillId="33" borderId="11" xfId="0" applyNumberFormat="1" applyFont="1" applyFill="1" applyBorder="1" applyAlignment="1">
      <alignment horizontal="left" vertical="center" wrapText="1"/>
    </xf>
    <xf numFmtId="0" fontId="11" fillId="33" borderId="11" xfId="0" applyNumberFormat="1" applyFont="1" applyFill="1" applyBorder="1" applyAlignment="1">
      <alignment horizontal="left" vertical="center" wrapText="1"/>
    </xf>
    <xf numFmtId="1" fontId="11" fillId="33" borderId="11" xfId="0" applyNumberFormat="1" applyFont="1" applyFill="1" applyBorder="1" applyAlignment="1">
      <alignment horizontal="right" wrapText="1"/>
    </xf>
    <xf numFmtId="0" fontId="11" fillId="33" borderId="11" xfId="0" applyNumberFormat="1" applyFont="1" applyFill="1" applyBorder="1" applyAlignment="1">
      <alignment horizontal="right" wrapText="1"/>
    </xf>
    <xf numFmtId="49" fontId="11" fillId="33" borderId="11" xfId="0" applyNumberFormat="1" applyFont="1" applyFill="1" applyBorder="1" applyAlignment="1">
      <alignment horizontal="right" wrapText="1"/>
    </xf>
    <xf numFmtId="179" fontId="11" fillId="33" borderId="11" xfId="0" applyNumberFormat="1" applyFont="1" applyFill="1" applyBorder="1" applyAlignment="1">
      <alignment horizontal="right" wrapText="1"/>
    </xf>
    <xf numFmtId="0" fontId="9" fillId="0" borderId="0" xfId="0" applyNumberFormat="1" applyFont="1" applyAlignment="1">
      <alignment horizontal="center" wrapText="1"/>
    </xf>
    <xf numFmtId="49" fontId="3" fillId="34" borderId="11" xfId="53" applyNumberFormat="1" applyFont="1" applyFill="1" applyBorder="1" applyAlignment="1">
      <alignment horizontal="left" vertical="top" wrapText="1"/>
      <protection/>
    </xf>
    <xf numFmtId="0" fontId="3" fillId="34" borderId="11" xfId="53" applyFont="1" applyFill="1" applyBorder="1" applyAlignment="1">
      <alignment horizontal="left" vertical="top" wrapText="1"/>
      <protection/>
    </xf>
    <xf numFmtId="173" fontId="17" fillId="34" borderId="11" xfId="53" applyNumberFormat="1" applyFont="1" applyFill="1" applyBorder="1" applyAlignment="1">
      <alignment horizontal="right" vertical="center" wrapText="1"/>
      <protection/>
    </xf>
    <xf numFmtId="49" fontId="18" fillId="34" borderId="11" xfId="53" applyNumberFormat="1" applyFont="1" applyFill="1" applyBorder="1" applyAlignment="1">
      <alignment horizontal="left" vertical="top" wrapText="1"/>
      <protection/>
    </xf>
    <xf numFmtId="0" fontId="19" fillId="34" borderId="11" xfId="53" applyFont="1" applyFill="1" applyBorder="1" applyAlignment="1">
      <alignment horizontal="left" vertical="top" wrapText="1"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top" wrapText="1"/>
    </xf>
    <xf numFmtId="0" fontId="11" fillId="0" borderId="10" xfId="0" applyNumberFormat="1" applyFont="1" applyFill="1" applyBorder="1" applyAlignment="1">
      <alignment horizontal="center" vertical="top" wrapText="1"/>
    </xf>
    <xf numFmtId="172" fontId="13" fillId="0" borderId="10" xfId="0" applyNumberFormat="1" applyFont="1" applyFill="1" applyBorder="1" applyAlignment="1">
      <alignment horizontal="center" vertical="center" wrapText="1"/>
    </xf>
    <xf numFmtId="172" fontId="12" fillId="0" borderId="10" xfId="0" applyNumberFormat="1" applyFont="1" applyFill="1" applyBorder="1" applyAlignment="1">
      <alignment horizontal="center" vertical="center" wrapText="1"/>
    </xf>
    <xf numFmtId="174" fontId="7" fillId="0" borderId="11" xfId="0" applyNumberFormat="1" applyFont="1" applyFill="1" applyBorder="1" applyAlignment="1">
      <alignment horizontal="right" wrapText="1"/>
    </xf>
    <xf numFmtId="49" fontId="11" fillId="0" borderId="11" xfId="0" applyNumberFormat="1" applyFont="1" applyFill="1" applyBorder="1" applyAlignment="1">
      <alignment horizontal="right" wrapText="1"/>
    </xf>
    <xf numFmtId="1" fontId="11" fillId="0" borderId="11" xfId="0" applyNumberFormat="1" applyFont="1" applyFill="1" applyBorder="1" applyAlignment="1">
      <alignment horizontal="right" wrapText="1"/>
    </xf>
    <xf numFmtId="0" fontId="11" fillId="0" borderId="11" xfId="0" applyNumberFormat="1" applyFont="1" applyFill="1" applyBorder="1" applyAlignment="1">
      <alignment horizontal="right" wrapText="1"/>
    </xf>
    <xf numFmtId="174" fontId="7" fillId="0" borderId="11" xfId="0" applyNumberFormat="1" applyFont="1" applyFill="1" applyBorder="1" applyAlignment="1">
      <alignment horizontal="right" vertical="center"/>
    </xf>
    <xf numFmtId="0" fontId="11" fillId="0" borderId="11" xfId="0" applyNumberFormat="1" applyFont="1" applyFill="1" applyBorder="1" applyAlignment="1">
      <alignment wrapText="1"/>
    </xf>
    <xf numFmtId="0" fontId="16" fillId="0" borderId="11" xfId="0" applyNumberFormat="1" applyFont="1" applyFill="1" applyBorder="1" applyAlignment="1">
      <alignment horizontal="right" vertical="center" wrapText="1"/>
    </xf>
    <xf numFmtId="172" fontId="11" fillId="0" borderId="11" xfId="0" applyNumberFormat="1" applyFont="1" applyFill="1" applyBorder="1" applyAlignment="1">
      <alignment horizontal="right" vertical="center" wrapText="1"/>
    </xf>
    <xf numFmtId="173" fontId="11" fillId="0" borderId="11" xfId="0" applyNumberFormat="1" applyFont="1" applyFill="1" applyBorder="1" applyAlignment="1">
      <alignment horizontal="right" vertical="center" wrapText="1"/>
    </xf>
    <xf numFmtId="173" fontId="11" fillId="0" borderId="11" xfId="0" applyNumberFormat="1" applyFont="1" applyFill="1" applyBorder="1" applyAlignment="1">
      <alignment horizontal="right" wrapText="1"/>
    </xf>
    <xf numFmtId="173" fontId="11" fillId="0" borderId="1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172" fontId="11" fillId="0" borderId="12" xfId="0" applyNumberFormat="1" applyFont="1" applyBorder="1" applyAlignment="1">
      <alignment horizontal="right" wrapText="1"/>
    </xf>
    <xf numFmtId="0" fontId="9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right"/>
    </xf>
    <xf numFmtId="172" fontId="11" fillId="33" borderId="12" xfId="0" applyNumberFormat="1" applyFont="1" applyFill="1" applyBorder="1" applyAlignment="1">
      <alignment horizontal="right" wrapText="1"/>
    </xf>
    <xf numFmtId="0" fontId="9" fillId="33" borderId="0" xfId="0" applyNumberFormat="1" applyFont="1" applyFill="1" applyAlignment="1">
      <alignment horizontal="center" wrapText="1"/>
    </xf>
    <xf numFmtId="0" fontId="12" fillId="34" borderId="12" xfId="53" applyFont="1" applyFill="1" applyBorder="1" applyAlignment="1">
      <alignment horizontal="right"/>
      <protection/>
    </xf>
    <xf numFmtId="0" fontId="9" fillId="34" borderId="0" xfId="53" applyFont="1" applyFill="1" applyAlignment="1">
      <alignment horizontal="center" wrapText="1" shrinkToFit="1"/>
      <protection/>
    </xf>
    <xf numFmtId="0" fontId="9" fillId="34" borderId="0" xfId="53" applyFont="1" applyFill="1" applyAlignment="1">
      <alignment horizontal="right"/>
      <protection/>
    </xf>
    <xf numFmtId="172" fontId="11" fillId="33" borderId="12" xfId="0" applyNumberFormat="1" applyFont="1" applyFill="1" applyBorder="1" applyAlignment="1">
      <alignment horizontal="right" vertical="top" wrapText="1"/>
    </xf>
    <xf numFmtId="172" fontId="6" fillId="33" borderId="12" xfId="0" applyNumberFormat="1" applyFont="1" applyFill="1" applyBorder="1" applyAlignment="1">
      <alignment horizontal="right" vertical="top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Обычный 8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z1\&#1084;&#1086;&#1080;%20&#1076;&#1086;&#1082;&#1091;&#1084;&#1077;&#1085;&#1090;&#1099;\&#1052;&#1086;&#1080;%20&#1076;&#1086;&#1082;&#1091;&#1084;&#1077;&#1085;&#1090;&#1099;\2019\&#1044;&#1091;&#1084;&#1072;%202019\&#1058;&#1072;&#1073;&#1083;&#1080;&#1094;&#1072;%20&#8470;7,8,10,12,13%20(2019-2021)%20&#1085;&#1072;%2001.02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№10"/>
      <sheetName val="Таблица №8"/>
      <sheetName val="Таблица №7"/>
      <sheetName val="Таблица №12"/>
      <sheetName val="Таблица №13"/>
      <sheetName val="02 ЖКХ на 01.01.2019"/>
    </sheetNames>
    <sheetDataSet>
      <sheetData sheetId="0">
        <row r="134">
          <cell r="A134" t="str">
            <v>Подпрограмма «Строительство, реконструкция и ремонт объектов муниципальной собственности Алексеевского муниципального района»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327"/>
  <sheetViews>
    <sheetView showGridLines="0" tabSelected="1" zoomScale="120" zoomScaleNormal="120" zoomScalePageLayoutView="0" workbookViewId="0" topLeftCell="A1">
      <pane ySplit="9" topLeftCell="A94" activePane="bottomLeft" state="frozen"/>
      <selection pane="topLeft" activeCell="A1" sqref="A1"/>
      <selection pane="bottomLeft" activeCell="B9" sqref="B9"/>
    </sheetView>
  </sheetViews>
  <sheetFormatPr defaultColWidth="9.140625" defaultRowHeight="12.75" outlineLevelRow="5"/>
  <cols>
    <col min="1" max="1" width="54.421875" style="7" customWidth="1"/>
    <col min="2" max="2" width="7.00390625" style="12" customWidth="1"/>
    <col min="3" max="3" width="6.7109375" style="12" customWidth="1"/>
    <col min="4" max="4" width="5.7109375" style="26" customWidth="1"/>
    <col min="5" max="5" width="5.421875" style="31" customWidth="1"/>
    <col min="6" max="6" width="6.00390625" style="11" customWidth="1"/>
    <col min="7" max="7" width="15.7109375" style="15" hidden="1" customWidth="1"/>
    <col min="8" max="8" width="12.57421875" style="2" customWidth="1"/>
    <col min="9" max="9" width="13.8515625" style="2" hidden="1" customWidth="1"/>
    <col min="10" max="10" width="13.57421875" style="2" customWidth="1"/>
    <col min="11" max="11" width="12.421875" style="2" customWidth="1"/>
    <col min="12" max="16384" width="9.140625" style="2" customWidth="1"/>
  </cols>
  <sheetData>
    <row r="1" spans="5:11" ht="18">
      <c r="E1" s="27"/>
      <c r="F1" s="23"/>
      <c r="G1" s="117" t="s">
        <v>230</v>
      </c>
      <c r="H1" s="117"/>
      <c r="I1" s="117"/>
      <c r="J1" s="117"/>
      <c r="K1" s="117"/>
    </row>
    <row r="2" spans="5:11" ht="18.75">
      <c r="E2" s="27"/>
      <c r="F2" s="24"/>
      <c r="G2" s="117" t="s">
        <v>147</v>
      </c>
      <c r="H2" s="117"/>
      <c r="I2" s="117"/>
      <c r="J2" s="117"/>
      <c r="K2" s="117"/>
    </row>
    <row r="3" spans="5:11" ht="18.75">
      <c r="E3" s="27"/>
      <c r="F3" s="24"/>
      <c r="G3" s="117" t="s">
        <v>148</v>
      </c>
      <c r="H3" s="117"/>
      <c r="I3" s="117"/>
      <c r="J3" s="117"/>
      <c r="K3" s="117"/>
    </row>
    <row r="4" spans="5:11" ht="18.75" customHeight="1">
      <c r="E4" s="24"/>
      <c r="F4" s="24"/>
      <c r="G4" s="117" t="s">
        <v>349</v>
      </c>
      <c r="H4" s="117"/>
      <c r="I4" s="117"/>
      <c r="J4" s="117"/>
      <c r="K4" s="117"/>
    </row>
    <row r="5" spans="1:7" ht="18.75">
      <c r="A5" s="8"/>
      <c r="B5" s="1"/>
      <c r="C5" s="1"/>
      <c r="D5" s="28"/>
      <c r="E5" s="120"/>
      <c r="F5" s="120"/>
      <c r="G5" s="65"/>
    </row>
    <row r="6" spans="1:11" ht="33.75" customHeight="1">
      <c r="A6" s="119" t="s">
        <v>335</v>
      </c>
      <c r="B6" s="119"/>
      <c r="C6" s="119"/>
      <c r="D6" s="119"/>
      <c r="E6" s="119"/>
      <c r="F6" s="119"/>
      <c r="G6" s="119"/>
      <c r="H6" s="119"/>
      <c r="I6" s="119"/>
      <c r="J6" s="119"/>
      <c r="K6" s="90"/>
    </row>
    <row r="7" spans="1:7" ht="12.75">
      <c r="A7" s="6"/>
      <c r="B7" s="3"/>
      <c r="C7" s="3"/>
      <c r="D7" s="29"/>
      <c r="E7" s="30"/>
      <c r="F7" s="9"/>
      <c r="G7" s="14"/>
    </row>
    <row r="8" spans="1:11" ht="12.75">
      <c r="A8" s="6"/>
      <c r="B8" s="3"/>
      <c r="C8" s="3"/>
      <c r="D8" s="29"/>
      <c r="E8" s="30"/>
      <c r="F8" s="9"/>
      <c r="G8" s="118"/>
      <c r="H8" s="118"/>
      <c r="I8" s="118"/>
      <c r="J8" s="118"/>
      <c r="K8" s="98" t="s">
        <v>313</v>
      </c>
    </row>
    <row r="9" spans="1:11" ht="91.5" customHeight="1">
      <c r="A9" s="99" t="s">
        <v>1</v>
      </c>
      <c r="B9" s="100" t="s">
        <v>184</v>
      </c>
      <c r="C9" s="101" t="s">
        <v>185</v>
      </c>
      <c r="D9" s="51" t="s">
        <v>228</v>
      </c>
      <c r="E9" s="102" t="s">
        <v>8</v>
      </c>
      <c r="F9" s="103" t="s">
        <v>159</v>
      </c>
      <c r="G9" s="104" t="s">
        <v>294</v>
      </c>
      <c r="H9" s="105" t="s">
        <v>256</v>
      </c>
      <c r="I9" s="104" t="s">
        <v>336</v>
      </c>
      <c r="J9" s="105" t="s">
        <v>293</v>
      </c>
      <c r="K9" s="105" t="s">
        <v>333</v>
      </c>
    </row>
    <row r="10" spans="1:11" ht="15.75" outlineLevel="1">
      <c r="A10" s="75" t="s">
        <v>26</v>
      </c>
      <c r="B10" s="76" t="s">
        <v>27</v>
      </c>
      <c r="C10" s="76"/>
      <c r="D10" s="76"/>
      <c r="E10" s="77" t="s">
        <v>0</v>
      </c>
      <c r="F10" s="78"/>
      <c r="G10" s="47">
        <f aca="true" t="shared" si="0" ref="G10:K11">SUM(G11)</f>
        <v>-8</v>
      </c>
      <c r="H10" s="114">
        <f t="shared" si="0"/>
        <v>450</v>
      </c>
      <c r="I10" s="114">
        <f t="shared" si="0"/>
        <v>-8</v>
      </c>
      <c r="J10" s="114">
        <f t="shared" si="0"/>
        <v>450</v>
      </c>
      <c r="K10" s="114">
        <f t="shared" si="0"/>
        <v>450</v>
      </c>
    </row>
    <row r="11" spans="1:11" ht="15.75" outlineLevel="1">
      <c r="A11" s="75" t="s">
        <v>102</v>
      </c>
      <c r="B11" s="76" t="s">
        <v>27</v>
      </c>
      <c r="C11" s="76" t="s">
        <v>41</v>
      </c>
      <c r="D11" s="76"/>
      <c r="E11" s="77"/>
      <c r="F11" s="78"/>
      <c r="G11" s="47">
        <f t="shared" si="0"/>
        <v>-8</v>
      </c>
      <c r="H11" s="114">
        <f t="shared" si="0"/>
        <v>450</v>
      </c>
      <c r="I11" s="114">
        <f t="shared" si="0"/>
        <v>-8</v>
      </c>
      <c r="J11" s="114">
        <f t="shared" si="0"/>
        <v>450</v>
      </c>
      <c r="K11" s="114">
        <f t="shared" si="0"/>
        <v>450</v>
      </c>
    </row>
    <row r="12" spans="1:11" ht="38.25" customHeight="1" outlineLevel="2">
      <c r="A12" s="75" t="s">
        <v>25</v>
      </c>
      <c r="B12" s="76" t="s">
        <v>27</v>
      </c>
      <c r="C12" s="76" t="s">
        <v>28</v>
      </c>
      <c r="D12" s="76"/>
      <c r="E12" s="77"/>
      <c r="F12" s="78"/>
      <c r="G12" s="47">
        <f>SUM(G13+G16)</f>
        <v>-8</v>
      </c>
      <c r="H12" s="114">
        <f>SUM(H13+H16)</f>
        <v>450</v>
      </c>
      <c r="I12" s="114">
        <f>SUM(I13+I16)</f>
        <v>-8</v>
      </c>
      <c r="J12" s="114">
        <f>SUM(J13+J16)</f>
        <v>450</v>
      </c>
      <c r="K12" s="114">
        <f>SUM(K13+K16)</f>
        <v>450</v>
      </c>
    </row>
    <row r="13" spans="1:11" ht="23.25" customHeight="1" outlineLevel="2">
      <c r="A13" s="75" t="s">
        <v>105</v>
      </c>
      <c r="B13" s="76" t="s">
        <v>27</v>
      </c>
      <c r="C13" s="76" t="s">
        <v>28</v>
      </c>
      <c r="D13" s="76" t="s">
        <v>11</v>
      </c>
      <c r="E13" s="77" t="s">
        <v>9</v>
      </c>
      <c r="F13" s="78"/>
      <c r="G13" s="47">
        <f>SUM(G14:G15)</f>
        <v>-7.9</v>
      </c>
      <c r="H13" s="114">
        <f>SUM(H14:H15)</f>
        <v>450</v>
      </c>
      <c r="I13" s="114">
        <f>SUM(I14:I15)</f>
        <v>-7.9</v>
      </c>
      <c r="J13" s="114">
        <f>SUM(J14:J15)</f>
        <v>450</v>
      </c>
      <c r="K13" s="114">
        <f>SUM(K14:K15)</f>
        <v>450</v>
      </c>
    </row>
    <row r="14" spans="1:11" ht="51" customHeight="1" outlineLevel="2">
      <c r="A14" s="75" t="s">
        <v>103</v>
      </c>
      <c r="B14" s="76" t="s">
        <v>27</v>
      </c>
      <c r="C14" s="76" t="s">
        <v>28</v>
      </c>
      <c r="D14" s="76" t="s">
        <v>11</v>
      </c>
      <c r="E14" s="77" t="s">
        <v>9</v>
      </c>
      <c r="F14" s="78">
        <v>100</v>
      </c>
      <c r="G14" s="47"/>
      <c r="H14" s="114">
        <f>373.4+16.6</f>
        <v>390</v>
      </c>
      <c r="I14" s="114"/>
      <c r="J14" s="114">
        <f>373.4+16.6</f>
        <v>390</v>
      </c>
      <c r="K14" s="114">
        <f>373.4+16.6</f>
        <v>390</v>
      </c>
    </row>
    <row r="15" spans="1:11" s="4" customFormat="1" ht="21.75" customHeight="1" outlineLevel="3">
      <c r="A15" s="75" t="s">
        <v>104</v>
      </c>
      <c r="B15" s="76" t="s">
        <v>27</v>
      </c>
      <c r="C15" s="76" t="s">
        <v>28</v>
      </c>
      <c r="D15" s="76" t="s">
        <v>11</v>
      </c>
      <c r="E15" s="77">
        <v>0</v>
      </c>
      <c r="F15" s="78">
        <v>200</v>
      </c>
      <c r="G15" s="47">
        <v>-7.9</v>
      </c>
      <c r="H15" s="114">
        <f>57.5+10.4-7.9</f>
        <v>60.00000000000001</v>
      </c>
      <c r="I15" s="114">
        <v>-7.9</v>
      </c>
      <c r="J15" s="114">
        <f>57.5+10.4-7.9</f>
        <v>60.00000000000001</v>
      </c>
      <c r="K15" s="114">
        <f>57.5+10.4-7.9</f>
        <v>60.00000000000001</v>
      </c>
    </row>
    <row r="16" spans="1:11" s="4" customFormat="1" ht="25.5" customHeight="1" hidden="1" outlineLevel="3">
      <c r="A16" s="75" t="s">
        <v>160</v>
      </c>
      <c r="B16" s="76" t="s">
        <v>27</v>
      </c>
      <c r="C16" s="76" t="s">
        <v>28</v>
      </c>
      <c r="D16" s="76" t="s">
        <v>16</v>
      </c>
      <c r="E16" s="77">
        <v>0</v>
      </c>
      <c r="F16" s="78"/>
      <c r="G16" s="106">
        <f>SUM(G17)</f>
        <v>-0.1</v>
      </c>
      <c r="H16" s="115">
        <f>SUM(H17)</f>
        <v>0</v>
      </c>
      <c r="I16" s="115">
        <f>SUM(I17)</f>
        <v>-0.1</v>
      </c>
      <c r="J16" s="115">
        <f>SUM(J17)</f>
        <v>0</v>
      </c>
      <c r="K16" s="115">
        <f>SUM(K17)</f>
        <v>0</v>
      </c>
    </row>
    <row r="17" spans="1:11" s="4" customFormat="1" ht="15.75" hidden="1" outlineLevel="3">
      <c r="A17" s="75" t="s">
        <v>149</v>
      </c>
      <c r="B17" s="76" t="s">
        <v>27</v>
      </c>
      <c r="C17" s="76" t="s">
        <v>28</v>
      </c>
      <c r="D17" s="76" t="s">
        <v>16</v>
      </c>
      <c r="E17" s="77">
        <v>0</v>
      </c>
      <c r="F17" s="78">
        <v>800</v>
      </c>
      <c r="G17" s="47">
        <v>-0.1</v>
      </c>
      <c r="H17" s="114">
        <f>0.05+0.05-0.1</f>
        <v>0</v>
      </c>
      <c r="I17" s="114">
        <v>-0.1</v>
      </c>
      <c r="J17" s="114">
        <f>0.05+0.05-0.1</f>
        <v>0</v>
      </c>
      <c r="K17" s="114">
        <f>0.05+0.05-0.1</f>
        <v>0</v>
      </c>
    </row>
    <row r="18" spans="1:11" s="4" customFormat="1" ht="15.75" outlineLevel="3">
      <c r="A18" s="75" t="s">
        <v>322</v>
      </c>
      <c r="B18" s="76" t="s">
        <v>30</v>
      </c>
      <c r="C18" s="76"/>
      <c r="D18" s="76"/>
      <c r="E18" s="77"/>
      <c r="F18" s="78"/>
      <c r="G18" s="47">
        <f aca="true" t="shared" si="1" ref="G18:K19">SUM(G19)</f>
        <v>-69.4</v>
      </c>
      <c r="H18" s="114">
        <f t="shared" si="1"/>
        <v>1330.6</v>
      </c>
      <c r="I18" s="114">
        <f t="shared" si="1"/>
        <v>-69.4</v>
      </c>
      <c r="J18" s="114">
        <f t="shared" si="1"/>
        <v>1330.6</v>
      </c>
      <c r="K18" s="114">
        <f t="shared" si="1"/>
        <v>1330.6</v>
      </c>
    </row>
    <row r="19" spans="1:11" s="4" customFormat="1" ht="15.75" outlineLevel="3">
      <c r="A19" s="75" t="s">
        <v>102</v>
      </c>
      <c r="B19" s="76" t="s">
        <v>30</v>
      </c>
      <c r="C19" s="76" t="s">
        <v>41</v>
      </c>
      <c r="D19" s="107"/>
      <c r="E19" s="108"/>
      <c r="F19" s="109"/>
      <c r="G19" s="47">
        <f t="shared" si="1"/>
        <v>-69.4</v>
      </c>
      <c r="H19" s="114">
        <f t="shared" si="1"/>
        <v>1330.6</v>
      </c>
      <c r="I19" s="114">
        <f t="shared" si="1"/>
        <v>-69.4</v>
      </c>
      <c r="J19" s="114">
        <f t="shared" si="1"/>
        <v>1330.6</v>
      </c>
      <c r="K19" s="114">
        <f t="shared" si="1"/>
        <v>1330.6</v>
      </c>
    </row>
    <row r="20" spans="1:11" s="4" customFormat="1" ht="29.25" customHeight="1" outlineLevel="3">
      <c r="A20" s="75" t="s">
        <v>32</v>
      </c>
      <c r="B20" s="76" t="s">
        <v>30</v>
      </c>
      <c r="C20" s="76" t="s">
        <v>31</v>
      </c>
      <c r="D20" s="76"/>
      <c r="E20" s="77"/>
      <c r="F20" s="78"/>
      <c r="G20" s="47">
        <f>SUM(G21+G24)</f>
        <v>-69.4</v>
      </c>
      <c r="H20" s="114">
        <f>SUM(H21+H24)</f>
        <v>1330.6</v>
      </c>
      <c r="I20" s="114">
        <f>SUM(I21+I24)</f>
        <v>-69.4</v>
      </c>
      <c r="J20" s="114">
        <f>SUM(J21+J24)</f>
        <v>1330.6</v>
      </c>
      <c r="K20" s="114">
        <f>SUM(K21+K24)</f>
        <v>1330.6</v>
      </c>
    </row>
    <row r="21" spans="1:11" s="4" customFormat="1" ht="29.25" customHeight="1" outlineLevel="3">
      <c r="A21" s="75" t="s">
        <v>105</v>
      </c>
      <c r="B21" s="76" t="s">
        <v>30</v>
      </c>
      <c r="C21" s="76" t="s">
        <v>31</v>
      </c>
      <c r="D21" s="76" t="s">
        <v>11</v>
      </c>
      <c r="E21" s="77" t="s">
        <v>9</v>
      </c>
      <c r="F21" s="78"/>
      <c r="G21" s="47">
        <f>SUM(G22:G23)</f>
        <v>-69.4</v>
      </c>
      <c r="H21" s="114">
        <f>SUM(H22:H23)</f>
        <v>1325.1</v>
      </c>
      <c r="I21" s="114">
        <f>SUM(I22:I23)</f>
        <v>-69.4</v>
      </c>
      <c r="J21" s="114">
        <f>SUM(J22:J23)</f>
        <v>1325.1</v>
      </c>
      <c r="K21" s="114">
        <f>SUM(K22:K23)</f>
        <v>1325.1</v>
      </c>
    </row>
    <row r="22" spans="1:11" s="4" customFormat="1" ht="45" customHeight="1" outlineLevel="3">
      <c r="A22" s="75" t="s">
        <v>103</v>
      </c>
      <c r="B22" s="76" t="s">
        <v>30</v>
      </c>
      <c r="C22" s="76" t="s">
        <v>31</v>
      </c>
      <c r="D22" s="76" t="s">
        <v>11</v>
      </c>
      <c r="E22" s="77" t="s">
        <v>9</v>
      </c>
      <c r="F22" s="78">
        <v>100</v>
      </c>
      <c r="G22" s="47">
        <v>-40</v>
      </c>
      <c r="H22" s="114">
        <f>1460.8-41-100+25.3-40</f>
        <v>1305.1</v>
      </c>
      <c r="I22" s="114">
        <v>-40</v>
      </c>
      <c r="J22" s="114">
        <f>1460.8-41-100+25.3-40</f>
        <v>1305.1</v>
      </c>
      <c r="K22" s="114">
        <f>1460.8-41-100+25.3-40</f>
        <v>1305.1</v>
      </c>
    </row>
    <row r="23" spans="1:11" s="4" customFormat="1" ht="24" outlineLevel="3">
      <c r="A23" s="75" t="s">
        <v>104</v>
      </c>
      <c r="B23" s="76" t="s">
        <v>30</v>
      </c>
      <c r="C23" s="76" t="s">
        <v>31</v>
      </c>
      <c r="D23" s="76" t="s">
        <v>11</v>
      </c>
      <c r="E23" s="77">
        <v>0</v>
      </c>
      <c r="F23" s="78">
        <v>200</v>
      </c>
      <c r="G23" s="47">
        <v>-29.4</v>
      </c>
      <c r="H23" s="114">
        <f>24.7+24.7-29.4</f>
        <v>20</v>
      </c>
      <c r="I23" s="114">
        <v>-29.4</v>
      </c>
      <c r="J23" s="114">
        <f>24.7+24.7-29.4</f>
        <v>20</v>
      </c>
      <c r="K23" s="114">
        <f>24.7+24.7-29.4</f>
        <v>20</v>
      </c>
    </row>
    <row r="24" spans="1:11" s="4" customFormat="1" ht="24.75" customHeight="1" outlineLevel="3">
      <c r="A24" s="75" t="s">
        <v>160</v>
      </c>
      <c r="B24" s="76" t="s">
        <v>30</v>
      </c>
      <c r="C24" s="76" t="s">
        <v>31</v>
      </c>
      <c r="D24" s="76" t="s">
        <v>16</v>
      </c>
      <c r="E24" s="77">
        <v>0</v>
      </c>
      <c r="F24" s="78"/>
      <c r="G24" s="106">
        <f>SUM(G25)</f>
        <v>0</v>
      </c>
      <c r="H24" s="115">
        <f>SUM(H25)</f>
        <v>5.5</v>
      </c>
      <c r="I24" s="115">
        <f>SUM(I25)</f>
        <v>0</v>
      </c>
      <c r="J24" s="115">
        <f>SUM(J25)</f>
        <v>5.5</v>
      </c>
      <c r="K24" s="115">
        <f>SUM(K25)</f>
        <v>5.5</v>
      </c>
    </row>
    <row r="25" spans="1:11" s="4" customFormat="1" ht="15.75" outlineLevel="3">
      <c r="A25" s="75" t="s">
        <v>149</v>
      </c>
      <c r="B25" s="76" t="s">
        <v>30</v>
      </c>
      <c r="C25" s="76" t="s">
        <v>31</v>
      </c>
      <c r="D25" s="76" t="s">
        <v>16</v>
      </c>
      <c r="E25" s="77">
        <v>0</v>
      </c>
      <c r="F25" s="78">
        <v>800</v>
      </c>
      <c r="G25" s="47"/>
      <c r="H25" s="114">
        <f>5.5</f>
        <v>5.5</v>
      </c>
      <c r="I25" s="114"/>
      <c r="J25" s="114">
        <f>5.5</f>
        <v>5.5</v>
      </c>
      <c r="K25" s="114">
        <f>5.5</f>
        <v>5.5</v>
      </c>
    </row>
    <row r="26" spans="1:11" s="4" customFormat="1" ht="17.25" customHeight="1" outlineLevel="3">
      <c r="A26" s="75" t="s">
        <v>251</v>
      </c>
      <c r="B26" s="76" t="s">
        <v>39</v>
      </c>
      <c r="C26" s="76"/>
      <c r="D26" s="76"/>
      <c r="E26" s="77"/>
      <c r="F26" s="78"/>
      <c r="G26" s="47">
        <f>SUM(G27+G97+G102+G109+G132+G149+G153+G246+G273+G302+G314+G319+G323+G268)</f>
        <v>44793.299999999996</v>
      </c>
      <c r="H26" s="114">
        <f>SUM(H27+H97+H102+H109+H132+H149+H153+H246+H273+H302+H314+H319+H323+H268)</f>
        <v>514537.904</v>
      </c>
      <c r="I26" s="114">
        <f>SUM(I27+I97+I102+I109+I132+I149+I153+I246+I273+I302+I314+I319+I323+I268)</f>
        <v>32762</v>
      </c>
      <c r="J26" s="114">
        <f>SUM(J27+J97+J102+J109+J132+J149+J153+J246+J273+J302+J314+J319+J323+J268)</f>
        <v>379068.5</v>
      </c>
      <c r="K26" s="114">
        <f>SUM(K27+K97+K102+K109+K132+K149+K153+K246+K273+K302+K314+K319+K323+K268)</f>
        <v>367938.7</v>
      </c>
    </row>
    <row r="27" spans="1:11" s="4" customFormat="1" ht="15.75" outlineLevel="3">
      <c r="A27" s="75" t="s">
        <v>102</v>
      </c>
      <c r="B27" s="76" t="s">
        <v>39</v>
      </c>
      <c r="C27" s="76" t="s">
        <v>41</v>
      </c>
      <c r="D27" s="76"/>
      <c r="E27" s="77"/>
      <c r="F27" s="78"/>
      <c r="G27" s="47">
        <f>SUM(G28+G31+G55+G59+G62+G51)</f>
        <v>4043.82194</v>
      </c>
      <c r="H27" s="114">
        <f>SUM(H28+H31+H55+H59+H62+H51)</f>
        <v>61433.82194</v>
      </c>
      <c r="I27" s="114">
        <f>SUM(I28+I31+I55+I59+I62+I51)</f>
        <v>11464.889000000003</v>
      </c>
      <c r="J27" s="114">
        <f>SUM(J28+J31+J55+J59+J62+J51)</f>
        <v>69255.38900000001</v>
      </c>
      <c r="K27" s="114">
        <f>SUM(K28+K31+K55+K59+K62+K51)</f>
        <v>74007.789</v>
      </c>
    </row>
    <row r="28" spans="1:11" s="4" customFormat="1" ht="24" outlineLevel="3">
      <c r="A28" s="75" t="s">
        <v>33</v>
      </c>
      <c r="B28" s="76" t="s">
        <v>39</v>
      </c>
      <c r="C28" s="76" t="s">
        <v>42</v>
      </c>
      <c r="D28" s="76"/>
      <c r="E28" s="77"/>
      <c r="F28" s="78"/>
      <c r="G28" s="47">
        <f>SUM(G30)</f>
        <v>0</v>
      </c>
      <c r="H28" s="114">
        <f>SUM(H30)</f>
        <v>1710</v>
      </c>
      <c r="I28" s="114">
        <f>SUM(I30)</f>
        <v>0</v>
      </c>
      <c r="J28" s="114">
        <f>SUM(J30)</f>
        <v>1710</v>
      </c>
      <c r="K28" s="114">
        <f>SUM(K30)</f>
        <v>1710</v>
      </c>
    </row>
    <row r="29" spans="1:11" s="4" customFormat="1" ht="27.75" customHeight="1" outlineLevel="3">
      <c r="A29" s="75" t="s">
        <v>105</v>
      </c>
      <c r="B29" s="76" t="s">
        <v>39</v>
      </c>
      <c r="C29" s="76" t="s">
        <v>42</v>
      </c>
      <c r="D29" s="76" t="s">
        <v>11</v>
      </c>
      <c r="E29" s="77" t="s">
        <v>9</v>
      </c>
      <c r="F29" s="78"/>
      <c r="G29" s="47">
        <f>SUM(G30)</f>
        <v>0</v>
      </c>
      <c r="H29" s="114">
        <f>SUM(H30)</f>
        <v>1710</v>
      </c>
      <c r="I29" s="114">
        <f>SUM(I30)</f>
        <v>0</v>
      </c>
      <c r="J29" s="114">
        <f>SUM(J30)</f>
        <v>1710</v>
      </c>
      <c r="K29" s="114">
        <f>SUM(K30)</f>
        <v>1710</v>
      </c>
    </row>
    <row r="30" spans="1:11" ht="48.75" customHeight="1" outlineLevel="1">
      <c r="A30" s="75" t="s">
        <v>103</v>
      </c>
      <c r="B30" s="76" t="s">
        <v>39</v>
      </c>
      <c r="C30" s="76" t="s">
        <v>42</v>
      </c>
      <c r="D30" s="76" t="s">
        <v>11</v>
      </c>
      <c r="E30" s="77">
        <v>0</v>
      </c>
      <c r="F30" s="78">
        <v>100</v>
      </c>
      <c r="G30" s="47"/>
      <c r="H30" s="114">
        <f>1367.1+100+242.9</f>
        <v>1710</v>
      </c>
      <c r="I30" s="114"/>
      <c r="J30" s="114">
        <f>1367.1+100+242.9</f>
        <v>1710</v>
      </c>
      <c r="K30" s="114">
        <f>1367.1+100+242.9</f>
        <v>1710</v>
      </c>
    </row>
    <row r="31" spans="1:11" ht="36.75" customHeight="1" outlineLevel="2">
      <c r="A31" s="74" t="s">
        <v>34</v>
      </c>
      <c r="B31" s="76" t="s">
        <v>39</v>
      </c>
      <c r="C31" s="76" t="s">
        <v>40</v>
      </c>
      <c r="D31" s="76"/>
      <c r="E31" s="77"/>
      <c r="F31" s="78"/>
      <c r="G31" s="47">
        <f>SUM(G32+G49)</f>
        <v>-10.900000000000034</v>
      </c>
      <c r="H31" s="114">
        <f>SUM(H32+H49)</f>
        <v>29631.3</v>
      </c>
      <c r="I31" s="114">
        <f>SUM(I32+I49)</f>
        <v>1995.3000000000002</v>
      </c>
      <c r="J31" s="114">
        <f>SUM(J32+J49)</f>
        <v>29594.6</v>
      </c>
      <c r="K31" s="114">
        <f>SUM(K32+K49)</f>
        <v>29605.8</v>
      </c>
    </row>
    <row r="32" spans="1:11" s="4" customFormat="1" ht="27" customHeight="1" outlineLevel="3">
      <c r="A32" s="75" t="s">
        <v>105</v>
      </c>
      <c r="B32" s="76" t="s">
        <v>39</v>
      </c>
      <c r="C32" s="76" t="s">
        <v>40</v>
      </c>
      <c r="D32" s="76" t="s">
        <v>11</v>
      </c>
      <c r="E32" s="77">
        <v>0</v>
      </c>
      <c r="F32" s="78"/>
      <c r="G32" s="47">
        <f>SUM(G33+G36)</f>
        <v>-10.900000000000034</v>
      </c>
      <c r="H32" s="114">
        <f>SUM(H33+H36)</f>
        <v>29581.3</v>
      </c>
      <c r="I32" s="114">
        <f>SUM(I33+I36)</f>
        <v>1995.3000000000002</v>
      </c>
      <c r="J32" s="114">
        <f>SUM(J33+J36)</f>
        <v>29544.6</v>
      </c>
      <c r="K32" s="114">
        <f>SUM(K33+K36)</f>
        <v>29555.8</v>
      </c>
    </row>
    <row r="33" spans="1:11" ht="15.75" outlineLevel="1">
      <c r="A33" s="74" t="s">
        <v>3</v>
      </c>
      <c r="B33" s="76" t="s">
        <v>39</v>
      </c>
      <c r="C33" s="76" t="s">
        <v>40</v>
      </c>
      <c r="D33" s="76" t="s">
        <v>11</v>
      </c>
      <c r="E33" s="77">
        <v>0</v>
      </c>
      <c r="F33" s="78"/>
      <c r="G33" s="47">
        <f>SUM(G34:G35)</f>
        <v>277.4</v>
      </c>
      <c r="H33" s="114">
        <f>SUM(H34:H35)</f>
        <v>27839.899999999998</v>
      </c>
      <c r="I33" s="114">
        <f>SUM(I34:I35)</f>
        <v>2320.3</v>
      </c>
      <c r="J33" s="114">
        <f>SUM(J34:J35)</f>
        <v>27839.899999999998</v>
      </c>
      <c r="K33" s="114">
        <f>SUM(K34:K35)</f>
        <v>27839.899999999998</v>
      </c>
    </row>
    <row r="34" spans="1:11" ht="49.5" customHeight="1" outlineLevel="2">
      <c r="A34" s="74" t="s">
        <v>103</v>
      </c>
      <c r="B34" s="76" t="s">
        <v>39</v>
      </c>
      <c r="C34" s="76" t="s">
        <v>40</v>
      </c>
      <c r="D34" s="76" t="s">
        <v>11</v>
      </c>
      <c r="E34" s="77">
        <v>0</v>
      </c>
      <c r="F34" s="78">
        <v>100</v>
      </c>
      <c r="G34" s="47">
        <f>40+559.6+200</f>
        <v>799.6</v>
      </c>
      <c r="H34" s="114">
        <f>24910+418-30-242.9-14.8+40+559.6+200</f>
        <v>25839.899999999998</v>
      </c>
      <c r="I34" s="114">
        <f>40+559.6+2242.9</f>
        <v>2842.5</v>
      </c>
      <c r="J34" s="114">
        <f>24910+418-30-242.9-14.8-3042.9+1000+40+559.6+2242.9</f>
        <v>25839.899999999998</v>
      </c>
      <c r="K34" s="114">
        <f>24910+418-30-242.9-14.8-3042.9+1000+40+559.6+2242.9</f>
        <v>25839.899999999998</v>
      </c>
    </row>
    <row r="35" spans="1:11" ht="24">
      <c r="A35" s="74" t="s">
        <v>104</v>
      </c>
      <c r="B35" s="76" t="s">
        <v>39</v>
      </c>
      <c r="C35" s="76" t="s">
        <v>40</v>
      </c>
      <c r="D35" s="76" t="s">
        <v>11</v>
      </c>
      <c r="E35" s="77">
        <v>0</v>
      </c>
      <c r="F35" s="78">
        <v>200</v>
      </c>
      <c r="G35" s="47">
        <f>7.9+29.4+0.1-559.6</f>
        <v>-522.2</v>
      </c>
      <c r="H35" s="114">
        <f>1540.9-10+25+1166.3-200+7.9+29.4+0.1-559.6</f>
        <v>2000</v>
      </c>
      <c r="I35" s="114">
        <f>7.9+29.4+0.1-559.6</f>
        <v>-522.2</v>
      </c>
      <c r="J35" s="114">
        <f>1540.9-10+25+1166.3-200+7.9+29.4+0.1-559.6</f>
        <v>2000</v>
      </c>
      <c r="K35" s="114">
        <f>1540.9-10+25+1166.3-200+7.9+29.4+0.1-559.6</f>
        <v>2000</v>
      </c>
    </row>
    <row r="36" spans="1:11" ht="23.25" customHeight="1" outlineLevel="2">
      <c r="A36" s="75" t="s">
        <v>105</v>
      </c>
      <c r="B36" s="76" t="s">
        <v>39</v>
      </c>
      <c r="C36" s="76" t="s">
        <v>40</v>
      </c>
      <c r="D36" s="76" t="s">
        <v>11</v>
      </c>
      <c r="E36" s="77" t="s">
        <v>9</v>
      </c>
      <c r="F36" s="78"/>
      <c r="G36" s="110">
        <f>SUM(G37+G40+G43+G46)</f>
        <v>-288.3</v>
      </c>
      <c r="H36" s="116">
        <f>SUM(H37+H40+H43+H46)</f>
        <v>1741.3999999999999</v>
      </c>
      <c r="I36" s="116">
        <f>SUM(I37+I40+I43+I46)</f>
        <v>-325</v>
      </c>
      <c r="J36" s="116">
        <f>SUM(J37+J40+J43+J46)</f>
        <v>1704.6999999999998</v>
      </c>
      <c r="K36" s="116">
        <f>SUM(K37+K40+K43+K46)</f>
        <v>1715.8999999999999</v>
      </c>
    </row>
    <row r="37" spans="1:11" ht="31.5" customHeight="1" outlineLevel="1">
      <c r="A37" s="75" t="s">
        <v>106</v>
      </c>
      <c r="B37" s="76" t="s">
        <v>39</v>
      </c>
      <c r="C37" s="76" t="s">
        <v>40</v>
      </c>
      <c r="D37" s="76" t="s">
        <v>11</v>
      </c>
      <c r="E37" s="77" t="s">
        <v>9</v>
      </c>
      <c r="F37" s="78"/>
      <c r="G37" s="47">
        <f>SUM(G38:G39)</f>
        <v>-0.3</v>
      </c>
      <c r="H37" s="114">
        <f>SUM(H38:H39)</f>
        <v>296.7</v>
      </c>
      <c r="I37" s="114">
        <f>SUM(I38:I39)</f>
        <v>-0.3</v>
      </c>
      <c r="J37" s="114">
        <f>SUM(J38:J39)</f>
        <v>296.7</v>
      </c>
      <c r="K37" s="114">
        <f>SUM(K38:K39)</f>
        <v>296.7</v>
      </c>
    </row>
    <row r="38" spans="1:11" ht="42" customHeight="1" outlineLevel="5">
      <c r="A38" s="75" t="s">
        <v>103</v>
      </c>
      <c r="B38" s="76" t="s">
        <v>39</v>
      </c>
      <c r="C38" s="76" t="s">
        <v>40</v>
      </c>
      <c r="D38" s="76" t="s">
        <v>11</v>
      </c>
      <c r="E38" s="77" t="s">
        <v>9</v>
      </c>
      <c r="F38" s="78">
        <v>100</v>
      </c>
      <c r="G38" s="110">
        <v>-0.3</v>
      </c>
      <c r="H38" s="116">
        <f>297.3-0.3+11-11-0.3</f>
        <v>296.7</v>
      </c>
      <c r="I38" s="116">
        <v>-0.3</v>
      </c>
      <c r="J38" s="116">
        <f>297+11-11-0.3</f>
        <v>296.7</v>
      </c>
      <c r="K38" s="116">
        <f>297+11-11-0.3</f>
        <v>296.7</v>
      </c>
    </row>
    <row r="39" spans="1:11" ht="24" hidden="1" outlineLevel="5">
      <c r="A39" s="75" t="s">
        <v>104</v>
      </c>
      <c r="B39" s="76" t="s">
        <v>39</v>
      </c>
      <c r="C39" s="76" t="s">
        <v>40</v>
      </c>
      <c r="D39" s="76" t="s">
        <v>11</v>
      </c>
      <c r="E39" s="77" t="s">
        <v>9</v>
      </c>
      <c r="F39" s="78">
        <v>200</v>
      </c>
      <c r="G39" s="110"/>
      <c r="H39" s="116">
        <f>81.8-81.8</f>
        <v>0</v>
      </c>
      <c r="I39" s="116"/>
      <c r="J39" s="116">
        <f>81.8-81.8</f>
        <v>0</v>
      </c>
      <c r="K39" s="116">
        <f>81.8-81.8</f>
        <v>0</v>
      </c>
    </row>
    <row r="40" spans="1:11" ht="27" customHeight="1" outlineLevel="5">
      <c r="A40" s="75" t="s">
        <v>107</v>
      </c>
      <c r="B40" s="76" t="s">
        <v>39</v>
      </c>
      <c r="C40" s="76" t="s">
        <v>40</v>
      </c>
      <c r="D40" s="76" t="s">
        <v>11</v>
      </c>
      <c r="E40" s="77" t="s">
        <v>9</v>
      </c>
      <c r="F40" s="78"/>
      <c r="G40" s="47">
        <f>SUM(G41:G42)</f>
        <v>-308.1</v>
      </c>
      <c r="H40" s="114">
        <f>SUM(H41:H42)</f>
        <v>666.9</v>
      </c>
      <c r="I40" s="114">
        <f>SUM(I41:I42)</f>
        <v>-308.1</v>
      </c>
      <c r="J40" s="114">
        <f>SUM(J41:J42)</f>
        <v>666.9</v>
      </c>
      <c r="K40" s="114">
        <f>SUM(K41:K42)</f>
        <v>666.9</v>
      </c>
    </row>
    <row r="41" spans="1:11" ht="47.25" customHeight="1" outlineLevel="2">
      <c r="A41" s="75" t="s">
        <v>103</v>
      </c>
      <c r="B41" s="76" t="s">
        <v>39</v>
      </c>
      <c r="C41" s="76" t="s">
        <v>40</v>
      </c>
      <c r="D41" s="76" t="s">
        <v>11</v>
      </c>
      <c r="E41" s="77" t="s">
        <v>9</v>
      </c>
      <c r="F41" s="78">
        <v>100</v>
      </c>
      <c r="G41" s="47">
        <f>-108.1-15</f>
        <v>-123.1</v>
      </c>
      <c r="H41" s="114">
        <f>700+75-108.1-15</f>
        <v>651.9</v>
      </c>
      <c r="I41" s="114">
        <f>-108.1-15</f>
        <v>-123.1</v>
      </c>
      <c r="J41" s="114">
        <f>700+75-108.1-15</f>
        <v>651.9</v>
      </c>
      <c r="K41" s="114">
        <v>651.9</v>
      </c>
    </row>
    <row r="42" spans="1:11" ht="24" outlineLevel="4">
      <c r="A42" s="75" t="s">
        <v>104</v>
      </c>
      <c r="B42" s="76" t="s">
        <v>39</v>
      </c>
      <c r="C42" s="76" t="s">
        <v>40</v>
      </c>
      <c r="D42" s="76" t="s">
        <v>11</v>
      </c>
      <c r="E42" s="77" t="s">
        <v>9</v>
      </c>
      <c r="F42" s="78">
        <v>200</v>
      </c>
      <c r="G42" s="47">
        <f>-200+15</f>
        <v>-185</v>
      </c>
      <c r="H42" s="114">
        <f>303-28-75-200+15</f>
        <v>15</v>
      </c>
      <c r="I42" s="114">
        <f>-200+15</f>
        <v>-185</v>
      </c>
      <c r="J42" s="114">
        <f>303-28-75-200+15</f>
        <v>15</v>
      </c>
      <c r="K42" s="114">
        <v>15</v>
      </c>
    </row>
    <row r="43" spans="1:11" s="17" customFormat="1" ht="33.75" customHeight="1" outlineLevel="5">
      <c r="A43" s="75" t="s">
        <v>236</v>
      </c>
      <c r="B43" s="76" t="s">
        <v>39</v>
      </c>
      <c r="C43" s="76" t="s">
        <v>40</v>
      </c>
      <c r="D43" s="76" t="s">
        <v>11</v>
      </c>
      <c r="E43" s="77" t="s">
        <v>9</v>
      </c>
      <c r="F43" s="78"/>
      <c r="G43" s="47">
        <f>SUM(G44:G45)</f>
        <v>-1.2</v>
      </c>
      <c r="H43" s="114">
        <f>SUM(H44:H45)</f>
        <v>315.8</v>
      </c>
      <c r="I43" s="114">
        <f>SUM(I44:I45)</f>
        <v>-37.9</v>
      </c>
      <c r="J43" s="114">
        <f>SUM(J44:J45)</f>
        <v>279.1</v>
      </c>
      <c r="K43" s="114">
        <f>SUM(K44:K45)</f>
        <v>290.3</v>
      </c>
    </row>
    <row r="44" spans="1:11" ht="45" customHeight="1" outlineLevel="5">
      <c r="A44" s="75" t="s">
        <v>103</v>
      </c>
      <c r="B44" s="76" t="s">
        <v>39</v>
      </c>
      <c r="C44" s="76" t="s">
        <v>40</v>
      </c>
      <c r="D44" s="76" t="s">
        <v>11</v>
      </c>
      <c r="E44" s="77" t="s">
        <v>9</v>
      </c>
      <c r="F44" s="78">
        <v>100</v>
      </c>
      <c r="G44" s="110">
        <v>-1.2</v>
      </c>
      <c r="H44" s="116">
        <f>159+158.5-0.5-1.2</f>
        <v>315.8</v>
      </c>
      <c r="I44" s="116">
        <v>-37.9</v>
      </c>
      <c r="J44" s="116">
        <f>317-37.9</f>
        <v>279.1</v>
      </c>
      <c r="K44" s="116">
        <v>290.3</v>
      </c>
    </row>
    <row r="45" spans="1:11" ht="24" hidden="1" outlineLevel="4">
      <c r="A45" s="75" t="s">
        <v>104</v>
      </c>
      <c r="B45" s="76" t="s">
        <v>39</v>
      </c>
      <c r="C45" s="76" t="s">
        <v>40</v>
      </c>
      <c r="D45" s="76" t="s">
        <v>11</v>
      </c>
      <c r="E45" s="77" t="s">
        <v>9</v>
      </c>
      <c r="F45" s="78">
        <v>200</v>
      </c>
      <c r="G45" s="110"/>
      <c r="H45" s="116">
        <v>0</v>
      </c>
      <c r="I45" s="116"/>
      <c r="J45" s="116">
        <v>0</v>
      </c>
      <c r="K45" s="116">
        <v>0</v>
      </c>
    </row>
    <row r="46" spans="1:11" ht="39" customHeight="1" outlineLevel="5">
      <c r="A46" s="75" t="s">
        <v>244</v>
      </c>
      <c r="B46" s="76" t="s">
        <v>39</v>
      </c>
      <c r="C46" s="76" t="s">
        <v>40</v>
      </c>
      <c r="D46" s="76" t="s">
        <v>11</v>
      </c>
      <c r="E46" s="77" t="s">
        <v>9</v>
      </c>
      <c r="F46" s="78"/>
      <c r="G46" s="47">
        <f>SUM(G47:G48)</f>
        <v>21.3</v>
      </c>
      <c r="H46" s="114">
        <f>SUM(H47:H48)</f>
        <v>461.99999999999994</v>
      </c>
      <c r="I46" s="114">
        <f>SUM(I47:I48)</f>
        <v>21.3</v>
      </c>
      <c r="J46" s="114">
        <f>SUM(J47:J48)</f>
        <v>461.99999999999994</v>
      </c>
      <c r="K46" s="114">
        <f>SUM(K47:K48)</f>
        <v>461.99999999999994</v>
      </c>
    </row>
    <row r="47" spans="1:11" ht="48" outlineLevel="5">
      <c r="A47" s="75" t="s">
        <v>103</v>
      </c>
      <c r="B47" s="76" t="s">
        <v>39</v>
      </c>
      <c r="C47" s="76" t="s">
        <v>40</v>
      </c>
      <c r="D47" s="76" t="s">
        <v>11</v>
      </c>
      <c r="E47" s="77" t="s">
        <v>9</v>
      </c>
      <c r="F47" s="78">
        <v>100</v>
      </c>
      <c r="G47" s="47">
        <v>53.174</v>
      </c>
      <c r="H47" s="114">
        <f>53.174</f>
        <v>53.174</v>
      </c>
      <c r="I47" s="114">
        <v>53.174</v>
      </c>
      <c r="J47" s="114">
        <f>53.174</f>
        <v>53.174</v>
      </c>
      <c r="K47" s="114">
        <f>53.174</f>
        <v>53.174</v>
      </c>
    </row>
    <row r="48" spans="1:11" ht="24" outlineLevel="5">
      <c r="A48" s="75" t="s">
        <v>104</v>
      </c>
      <c r="B48" s="76" t="s">
        <v>39</v>
      </c>
      <c r="C48" s="76" t="s">
        <v>40</v>
      </c>
      <c r="D48" s="76" t="s">
        <v>11</v>
      </c>
      <c r="E48" s="77" t="s">
        <v>9</v>
      </c>
      <c r="F48" s="78">
        <v>200</v>
      </c>
      <c r="G48" s="47">
        <v>-31.874</v>
      </c>
      <c r="H48" s="114">
        <f>439.8+0.9-31.874</f>
        <v>408.82599999999996</v>
      </c>
      <c r="I48" s="114">
        <v>-31.874</v>
      </c>
      <c r="J48" s="114">
        <f>439.8+0.9-31.874</f>
        <v>408.82599999999996</v>
      </c>
      <c r="K48" s="114">
        <f>439.8+0.9-31.874</f>
        <v>408.82599999999996</v>
      </c>
    </row>
    <row r="49" spans="1:11" ht="36" outlineLevel="2">
      <c r="A49" s="75" t="s">
        <v>262</v>
      </c>
      <c r="B49" s="76" t="s">
        <v>39</v>
      </c>
      <c r="C49" s="76" t="s">
        <v>40</v>
      </c>
      <c r="D49" s="76" t="s">
        <v>2</v>
      </c>
      <c r="E49" s="77">
        <v>0</v>
      </c>
      <c r="F49" s="78"/>
      <c r="G49" s="47">
        <f>SUM(G50)</f>
        <v>0</v>
      </c>
      <c r="H49" s="114">
        <f>SUM(H50)</f>
        <v>50</v>
      </c>
      <c r="I49" s="114">
        <f>SUM(I50)</f>
        <v>0</v>
      </c>
      <c r="J49" s="114">
        <f>SUM(J50)</f>
        <v>50</v>
      </c>
      <c r="K49" s="114">
        <f>SUM(K50)</f>
        <v>50</v>
      </c>
    </row>
    <row r="50" spans="1:11" ht="24" outlineLevel="2">
      <c r="A50" s="75" t="s">
        <v>104</v>
      </c>
      <c r="B50" s="76" t="s">
        <v>39</v>
      </c>
      <c r="C50" s="76" t="s">
        <v>40</v>
      </c>
      <c r="D50" s="76" t="s">
        <v>2</v>
      </c>
      <c r="E50" s="77">
        <v>0</v>
      </c>
      <c r="F50" s="78">
        <v>200</v>
      </c>
      <c r="G50" s="47"/>
      <c r="H50" s="114">
        <f>50</f>
        <v>50</v>
      </c>
      <c r="I50" s="114"/>
      <c r="J50" s="114">
        <f>50</f>
        <v>50</v>
      </c>
      <c r="K50" s="114">
        <f>50</f>
        <v>50</v>
      </c>
    </row>
    <row r="51" spans="1:11" ht="15.75" outlineLevel="2">
      <c r="A51" s="75" t="s">
        <v>35</v>
      </c>
      <c r="B51" s="76" t="s">
        <v>39</v>
      </c>
      <c r="C51" s="76" t="s">
        <v>43</v>
      </c>
      <c r="D51" s="76"/>
      <c r="E51" s="77"/>
      <c r="F51" s="78"/>
      <c r="G51" s="47">
        <f aca="true" t="shared" si="2" ref="G51:K53">SUM(G52)</f>
        <v>3.4</v>
      </c>
      <c r="H51" s="114">
        <f t="shared" si="2"/>
        <v>3.4</v>
      </c>
      <c r="I51" s="114">
        <f t="shared" si="2"/>
        <v>29.2</v>
      </c>
      <c r="J51" s="114">
        <f t="shared" si="2"/>
        <v>29.2</v>
      </c>
      <c r="K51" s="114">
        <f t="shared" si="2"/>
        <v>1.8</v>
      </c>
    </row>
    <row r="52" spans="1:11" ht="24" outlineLevel="2">
      <c r="A52" s="75" t="s">
        <v>205</v>
      </c>
      <c r="B52" s="76" t="s">
        <v>39</v>
      </c>
      <c r="C52" s="76" t="s">
        <v>43</v>
      </c>
      <c r="D52" s="76" t="s">
        <v>16</v>
      </c>
      <c r="E52" s="77">
        <v>0</v>
      </c>
      <c r="F52" s="78"/>
      <c r="G52" s="47">
        <f t="shared" si="2"/>
        <v>3.4</v>
      </c>
      <c r="H52" s="114">
        <f t="shared" si="2"/>
        <v>3.4</v>
      </c>
      <c r="I52" s="114">
        <f t="shared" si="2"/>
        <v>29.2</v>
      </c>
      <c r="J52" s="114">
        <f t="shared" si="2"/>
        <v>29.2</v>
      </c>
      <c r="K52" s="114">
        <f t="shared" si="2"/>
        <v>1.8</v>
      </c>
    </row>
    <row r="53" spans="1:11" ht="24" outlineLevel="2">
      <c r="A53" s="75" t="s">
        <v>160</v>
      </c>
      <c r="B53" s="76" t="s">
        <v>39</v>
      </c>
      <c r="C53" s="76" t="s">
        <v>43</v>
      </c>
      <c r="D53" s="76" t="s">
        <v>16</v>
      </c>
      <c r="E53" s="77">
        <v>0</v>
      </c>
      <c r="F53" s="78"/>
      <c r="G53" s="47">
        <f t="shared" si="2"/>
        <v>3.4</v>
      </c>
      <c r="H53" s="114">
        <f t="shared" si="2"/>
        <v>3.4</v>
      </c>
      <c r="I53" s="114">
        <f t="shared" si="2"/>
        <v>29.2</v>
      </c>
      <c r="J53" s="114">
        <f t="shared" si="2"/>
        <v>29.2</v>
      </c>
      <c r="K53" s="114">
        <f t="shared" si="2"/>
        <v>1.8</v>
      </c>
    </row>
    <row r="54" spans="1:11" ht="23.25" customHeight="1" outlineLevel="2">
      <c r="A54" s="75" t="s">
        <v>104</v>
      </c>
      <c r="B54" s="76" t="s">
        <v>39</v>
      </c>
      <c r="C54" s="76" t="s">
        <v>43</v>
      </c>
      <c r="D54" s="76" t="s">
        <v>16</v>
      </c>
      <c r="E54" s="77">
        <v>0</v>
      </c>
      <c r="F54" s="78">
        <v>200</v>
      </c>
      <c r="G54" s="47">
        <v>3.4</v>
      </c>
      <c r="H54" s="114">
        <v>3.4</v>
      </c>
      <c r="I54" s="114">
        <v>29.2</v>
      </c>
      <c r="J54" s="114">
        <v>29.2</v>
      </c>
      <c r="K54" s="114">
        <v>1.8</v>
      </c>
    </row>
    <row r="55" spans="1:11" ht="15.75" hidden="1" outlineLevel="2">
      <c r="A55" s="75" t="s">
        <v>36</v>
      </c>
      <c r="B55" s="76" t="s">
        <v>39</v>
      </c>
      <c r="C55" s="76" t="s">
        <v>44</v>
      </c>
      <c r="D55" s="76"/>
      <c r="E55" s="77"/>
      <c r="F55" s="78"/>
      <c r="G55" s="47">
        <f aca="true" t="shared" si="3" ref="G55:K56">SUM(G56)</f>
        <v>0</v>
      </c>
      <c r="H55" s="114">
        <f t="shared" si="3"/>
        <v>0</v>
      </c>
      <c r="I55" s="114">
        <f t="shared" si="3"/>
        <v>0</v>
      </c>
      <c r="J55" s="114">
        <f t="shared" si="3"/>
        <v>0</v>
      </c>
      <c r="K55" s="114">
        <f t="shared" si="3"/>
        <v>0</v>
      </c>
    </row>
    <row r="56" spans="1:11" ht="15.75" hidden="1" outlineLevel="5">
      <c r="A56" s="75" t="s">
        <v>37</v>
      </c>
      <c r="B56" s="76" t="s">
        <v>39</v>
      </c>
      <c r="C56" s="76" t="s">
        <v>44</v>
      </c>
      <c r="D56" s="76" t="s">
        <v>16</v>
      </c>
      <c r="E56" s="77" t="s">
        <v>9</v>
      </c>
      <c r="F56" s="78"/>
      <c r="G56" s="47">
        <f t="shared" si="3"/>
        <v>0</v>
      </c>
      <c r="H56" s="114">
        <f t="shared" si="3"/>
        <v>0</v>
      </c>
      <c r="I56" s="114">
        <f t="shared" si="3"/>
        <v>0</v>
      </c>
      <c r="J56" s="114">
        <f t="shared" si="3"/>
        <v>0</v>
      </c>
      <c r="K56" s="114">
        <f t="shared" si="3"/>
        <v>0</v>
      </c>
    </row>
    <row r="57" spans="1:11" ht="24" hidden="1" outlineLevel="2">
      <c r="A57" s="75" t="s">
        <v>160</v>
      </c>
      <c r="B57" s="76" t="s">
        <v>39</v>
      </c>
      <c r="C57" s="76" t="s">
        <v>44</v>
      </c>
      <c r="D57" s="76" t="s">
        <v>16</v>
      </c>
      <c r="E57" s="77" t="s">
        <v>9</v>
      </c>
      <c r="F57" s="78"/>
      <c r="G57" s="47">
        <f aca="true" t="shared" si="4" ref="G57:K60">SUM(G58)</f>
        <v>0</v>
      </c>
      <c r="H57" s="114">
        <f t="shared" si="4"/>
        <v>0</v>
      </c>
      <c r="I57" s="114">
        <f t="shared" si="4"/>
        <v>0</v>
      </c>
      <c r="J57" s="114">
        <f t="shared" si="4"/>
        <v>0</v>
      </c>
      <c r="K57" s="114">
        <f t="shared" si="4"/>
        <v>0</v>
      </c>
    </row>
    <row r="58" spans="1:11" ht="24" hidden="1" outlineLevel="5">
      <c r="A58" s="75" t="s">
        <v>104</v>
      </c>
      <c r="B58" s="76" t="s">
        <v>39</v>
      </c>
      <c r="C58" s="76" t="s">
        <v>44</v>
      </c>
      <c r="D58" s="76" t="s">
        <v>16</v>
      </c>
      <c r="E58" s="77">
        <v>0</v>
      </c>
      <c r="F58" s="78">
        <v>200</v>
      </c>
      <c r="G58" s="47"/>
      <c r="H58" s="114">
        <v>0</v>
      </c>
      <c r="I58" s="114"/>
      <c r="J58" s="114">
        <v>0</v>
      </c>
      <c r="K58" s="114">
        <v>0</v>
      </c>
    </row>
    <row r="59" spans="1:11" ht="15.75" outlineLevel="1">
      <c r="A59" s="75" t="s">
        <v>38</v>
      </c>
      <c r="B59" s="76" t="s">
        <v>39</v>
      </c>
      <c r="C59" s="76" t="s">
        <v>45</v>
      </c>
      <c r="D59" s="76"/>
      <c r="E59" s="77"/>
      <c r="F59" s="78"/>
      <c r="G59" s="47">
        <f t="shared" si="4"/>
        <v>0</v>
      </c>
      <c r="H59" s="114">
        <f t="shared" si="4"/>
        <v>320</v>
      </c>
      <c r="I59" s="114">
        <f t="shared" si="4"/>
        <v>0</v>
      </c>
      <c r="J59" s="114">
        <f t="shared" si="4"/>
        <v>320</v>
      </c>
      <c r="K59" s="114">
        <f t="shared" si="4"/>
        <v>320</v>
      </c>
    </row>
    <row r="60" spans="1:11" ht="29.25" customHeight="1" outlineLevel="2">
      <c r="A60" s="75" t="s">
        <v>160</v>
      </c>
      <c r="B60" s="76" t="s">
        <v>39</v>
      </c>
      <c r="C60" s="76" t="s">
        <v>45</v>
      </c>
      <c r="D60" s="76" t="s">
        <v>16</v>
      </c>
      <c r="E60" s="77" t="s">
        <v>9</v>
      </c>
      <c r="F60" s="78"/>
      <c r="G60" s="47">
        <f t="shared" si="4"/>
        <v>0</v>
      </c>
      <c r="H60" s="114">
        <f t="shared" si="4"/>
        <v>320</v>
      </c>
      <c r="I60" s="114">
        <f t="shared" si="4"/>
        <v>0</v>
      </c>
      <c r="J60" s="114">
        <f t="shared" si="4"/>
        <v>320</v>
      </c>
      <c r="K60" s="114">
        <f t="shared" si="4"/>
        <v>320</v>
      </c>
    </row>
    <row r="61" spans="1:11" ht="15.75" outlineLevel="2">
      <c r="A61" s="75" t="s">
        <v>149</v>
      </c>
      <c r="B61" s="76" t="s">
        <v>39</v>
      </c>
      <c r="C61" s="76" t="s">
        <v>45</v>
      </c>
      <c r="D61" s="76" t="s">
        <v>16</v>
      </c>
      <c r="E61" s="77" t="s">
        <v>9</v>
      </c>
      <c r="F61" s="78">
        <v>800</v>
      </c>
      <c r="G61" s="47"/>
      <c r="H61" s="114">
        <v>320</v>
      </c>
      <c r="I61" s="114"/>
      <c r="J61" s="114">
        <v>320</v>
      </c>
      <c r="K61" s="114">
        <v>320</v>
      </c>
    </row>
    <row r="62" spans="1:11" ht="15.75" outlineLevel="2">
      <c r="A62" s="75" t="s">
        <v>46</v>
      </c>
      <c r="B62" s="76" t="s">
        <v>39</v>
      </c>
      <c r="C62" s="76" t="s">
        <v>29</v>
      </c>
      <c r="D62" s="76"/>
      <c r="E62" s="77"/>
      <c r="F62" s="78"/>
      <c r="G62" s="47">
        <f>SUM(G63+G70+G79+G82+G86+G89+G96+G77+G68+G75+G93)</f>
        <v>4051.32194</v>
      </c>
      <c r="H62" s="114">
        <f>SUM(H63+H70+H79+H82+H86+H89+H96+H77+H68+H75+H93)</f>
        <v>29769.121939999997</v>
      </c>
      <c r="I62" s="114">
        <f>SUM(I63+I70+I79+I82+I86+I89+I96+I77+I68+I75+I93)</f>
        <v>9440.389000000001</v>
      </c>
      <c r="J62" s="114">
        <f>SUM(J63+J70+J79+J82+J86+J89+J96+J77+J68+J75+J93)</f>
        <v>37601.58900000001</v>
      </c>
      <c r="K62" s="114">
        <f>SUM(K63+K70+K79+K82+K86+K89+K96+K77+K68+K75+K93)</f>
        <v>42370.189</v>
      </c>
    </row>
    <row r="63" spans="1:11" ht="34.5" customHeight="1" outlineLevel="2">
      <c r="A63" s="75" t="s">
        <v>274</v>
      </c>
      <c r="B63" s="76" t="s">
        <v>39</v>
      </c>
      <c r="C63" s="76" t="s">
        <v>29</v>
      </c>
      <c r="D63" s="76" t="s">
        <v>6</v>
      </c>
      <c r="E63" s="77">
        <v>0</v>
      </c>
      <c r="F63" s="78"/>
      <c r="G63" s="47">
        <f>SUM(G66+G64)</f>
        <v>0</v>
      </c>
      <c r="H63" s="114">
        <f>SUM(H66+H64)</f>
        <v>150</v>
      </c>
      <c r="I63" s="114">
        <f>SUM(I66+I64)</f>
        <v>0</v>
      </c>
      <c r="J63" s="114">
        <f>SUM(J66+J64)</f>
        <v>0</v>
      </c>
      <c r="K63" s="114">
        <f>SUM(K66+K64)</f>
        <v>0</v>
      </c>
    </row>
    <row r="64" spans="1:11" ht="24" hidden="1" outlineLevel="2">
      <c r="A64" s="75" t="s">
        <v>209</v>
      </c>
      <c r="B64" s="76" t="s">
        <v>39</v>
      </c>
      <c r="C64" s="76" t="s">
        <v>29</v>
      </c>
      <c r="D64" s="76" t="s">
        <v>6</v>
      </c>
      <c r="E64" s="77">
        <v>3</v>
      </c>
      <c r="F64" s="78"/>
      <c r="G64" s="47">
        <f>SUM(G65:G65)</f>
        <v>0</v>
      </c>
      <c r="H64" s="114">
        <f>SUM(H65:H65)</f>
        <v>0</v>
      </c>
      <c r="I64" s="114">
        <f>SUM(I65:I65)</f>
        <v>0</v>
      </c>
      <c r="J64" s="114">
        <f>SUM(J65:J65)</f>
        <v>0</v>
      </c>
      <c r="K64" s="114">
        <f>SUM(K65:K65)</f>
        <v>0</v>
      </c>
    </row>
    <row r="65" spans="1:11" ht="24" hidden="1" outlineLevel="2">
      <c r="A65" s="75" t="s">
        <v>161</v>
      </c>
      <c r="B65" s="76" t="s">
        <v>39</v>
      </c>
      <c r="C65" s="76" t="s">
        <v>29</v>
      </c>
      <c r="D65" s="76" t="s">
        <v>6</v>
      </c>
      <c r="E65" s="77">
        <v>3</v>
      </c>
      <c r="F65" s="78">
        <v>600</v>
      </c>
      <c r="G65" s="47"/>
      <c r="H65" s="114">
        <v>0</v>
      </c>
      <c r="I65" s="114"/>
      <c r="J65" s="114">
        <v>0</v>
      </c>
      <c r="K65" s="114">
        <v>0</v>
      </c>
    </row>
    <row r="66" spans="1:11" ht="24" outlineLevel="2">
      <c r="A66" s="75" t="s">
        <v>192</v>
      </c>
      <c r="B66" s="76" t="s">
        <v>39</v>
      </c>
      <c r="C66" s="76" t="s">
        <v>29</v>
      </c>
      <c r="D66" s="76" t="s">
        <v>6</v>
      </c>
      <c r="E66" s="77">
        <v>4</v>
      </c>
      <c r="F66" s="78"/>
      <c r="G66" s="47">
        <f>SUM(G67)</f>
        <v>0</v>
      </c>
      <c r="H66" s="114">
        <f>SUM(H67)</f>
        <v>150</v>
      </c>
      <c r="I66" s="114">
        <f>SUM(I67)</f>
        <v>0</v>
      </c>
      <c r="J66" s="114">
        <f>SUM(J67)</f>
        <v>0</v>
      </c>
      <c r="K66" s="114">
        <f>SUM(K67)</f>
        <v>0</v>
      </c>
    </row>
    <row r="67" spans="1:11" ht="24" customHeight="1" outlineLevel="2">
      <c r="A67" s="75" t="s">
        <v>161</v>
      </c>
      <c r="B67" s="76" t="s">
        <v>39</v>
      </c>
      <c r="C67" s="76" t="s">
        <v>29</v>
      </c>
      <c r="D67" s="76" t="s">
        <v>6</v>
      </c>
      <c r="E67" s="77">
        <v>4</v>
      </c>
      <c r="F67" s="78">
        <v>600</v>
      </c>
      <c r="G67" s="47"/>
      <c r="H67" s="114">
        <v>150</v>
      </c>
      <c r="I67" s="114"/>
      <c r="J67" s="114">
        <f>150-150</f>
        <v>0</v>
      </c>
      <c r="K67" s="114">
        <f>150-150</f>
        <v>0</v>
      </c>
    </row>
    <row r="68" spans="1:11" ht="15.75" outlineLevel="2">
      <c r="A68" s="75" t="s">
        <v>259</v>
      </c>
      <c r="B68" s="76" t="s">
        <v>39</v>
      </c>
      <c r="C68" s="76" t="s">
        <v>29</v>
      </c>
      <c r="D68" s="76" t="s">
        <v>10</v>
      </c>
      <c r="E68" s="77">
        <v>0</v>
      </c>
      <c r="F68" s="78"/>
      <c r="G68" s="47">
        <f>SUM(G69)</f>
        <v>0</v>
      </c>
      <c r="H68" s="114">
        <f>SUM(H69)</f>
        <v>100</v>
      </c>
      <c r="I68" s="114">
        <f>SUM(I69)</f>
        <v>0</v>
      </c>
      <c r="J68" s="114">
        <f>SUM(J69)</f>
        <v>100</v>
      </c>
      <c r="K68" s="114">
        <f>SUM(K69)</f>
        <v>100</v>
      </c>
    </row>
    <row r="69" spans="1:11" ht="24" outlineLevel="2">
      <c r="A69" s="75" t="s">
        <v>104</v>
      </c>
      <c r="B69" s="76" t="s">
        <v>39</v>
      </c>
      <c r="C69" s="76" t="s">
        <v>29</v>
      </c>
      <c r="D69" s="76" t="s">
        <v>10</v>
      </c>
      <c r="E69" s="77">
        <v>0</v>
      </c>
      <c r="F69" s="78">
        <v>200</v>
      </c>
      <c r="G69" s="47"/>
      <c r="H69" s="114">
        <v>100</v>
      </c>
      <c r="I69" s="114"/>
      <c r="J69" s="114">
        <v>100</v>
      </c>
      <c r="K69" s="114">
        <v>100</v>
      </c>
    </row>
    <row r="70" spans="1:11" ht="37.5" customHeight="1" outlineLevel="2">
      <c r="A70" s="75" t="s">
        <v>263</v>
      </c>
      <c r="B70" s="76" t="s">
        <v>39</v>
      </c>
      <c r="C70" s="76" t="s">
        <v>29</v>
      </c>
      <c r="D70" s="76" t="s">
        <v>156</v>
      </c>
      <c r="E70" s="77">
        <v>0</v>
      </c>
      <c r="F70" s="78"/>
      <c r="G70" s="47">
        <f>SUM(G71+G73)</f>
        <v>0</v>
      </c>
      <c r="H70" s="114">
        <f>SUM(H71+H73)</f>
        <v>50</v>
      </c>
      <c r="I70" s="114">
        <f>SUM(I71+I73)</f>
        <v>0</v>
      </c>
      <c r="J70" s="114">
        <f>SUM(J71+J73)</f>
        <v>50</v>
      </c>
      <c r="K70" s="114">
        <f>SUM(K71+K73)</f>
        <v>50</v>
      </c>
    </row>
    <row r="71" spans="1:11" ht="20.25" customHeight="1" outlineLevel="2">
      <c r="A71" s="75" t="s">
        <v>281</v>
      </c>
      <c r="B71" s="76" t="s">
        <v>39</v>
      </c>
      <c r="C71" s="76" t="s">
        <v>29</v>
      </c>
      <c r="D71" s="76" t="s">
        <v>156</v>
      </c>
      <c r="E71" s="77">
        <v>1</v>
      </c>
      <c r="F71" s="78"/>
      <c r="G71" s="47">
        <f>SUM(G72)</f>
        <v>0</v>
      </c>
      <c r="H71" s="114">
        <f>SUM(H72)</f>
        <v>35</v>
      </c>
      <c r="I71" s="114">
        <f>SUM(I72)</f>
        <v>0</v>
      </c>
      <c r="J71" s="114">
        <f>SUM(J72)</f>
        <v>35</v>
      </c>
      <c r="K71" s="114">
        <f>SUM(K72)</f>
        <v>35</v>
      </c>
    </row>
    <row r="72" spans="1:11" ht="24" outlineLevel="2">
      <c r="A72" s="75" t="s">
        <v>104</v>
      </c>
      <c r="B72" s="76" t="s">
        <v>39</v>
      </c>
      <c r="C72" s="76" t="s">
        <v>29</v>
      </c>
      <c r="D72" s="76" t="s">
        <v>156</v>
      </c>
      <c r="E72" s="77">
        <v>1</v>
      </c>
      <c r="F72" s="78">
        <v>200</v>
      </c>
      <c r="G72" s="47"/>
      <c r="H72" s="114">
        <f>50-15</f>
        <v>35</v>
      </c>
      <c r="I72" s="114"/>
      <c r="J72" s="114">
        <f>50-15</f>
        <v>35</v>
      </c>
      <c r="K72" s="114">
        <f>50-15</f>
        <v>35</v>
      </c>
    </row>
    <row r="73" spans="1:11" ht="24" outlineLevel="2">
      <c r="A73" s="75" t="s">
        <v>282</v>
      </c>
      <c r="B73" s="76" t="s">
        <v>39</v>
      </c>
      <c r="C73" s="76" t="s">
        <v>29</v>
      </c>
      <c r="D73" s="76" t="s">
        <v>156</v>
      </c>
      <c r="E73" s="77">
        <v>2</v>
      </c>
      <c r="F73" s="78"/>
      <c r="G73" s="47">
        <f>SUM(G74)</f>
        <v>0</v>
      </c>
      <c r="H73" s="114">
        <f>SUM(H74)</f>
        <v>15</v>
      </c>
      <c r="I73" s="114">
        <f>SUM(I74)</f>
        <v>0</v>
      </c>
      <c r="J73" s="114">
        <f>SUM(J74)</f>
        <v>15</v>
      </c>
      <c r="K73" s="114">
        <f>SUM(K74)</f>
        <v>15</v>
      </c>
    </row>
    <row r="74" spans="1:11" ht="24" outlineLevel="2">
      <c r="A74" s="75" t="s">
        <v>104</v>
      </c>
      <c r="B74" s="76" t="s">
        <v>39</v>
      </c>
      <c r="C74" s="76" t="s">
        <v>29</v>
      </c>
      <c r="D74" s="76" t="s">
        <v>156</v>
      </c>
      <c r="E74" s="77">
        <v>2</v>
      </c>
      <c r="F74" s="78">
        <v>200</v>
      </c>
      <c r="G74" s="47"/>
      <c r="H74" s="114">
        <v>15</v>
      </c>
      <c r="I74" s="114"/>
      <c r="J74" s="114">
        <v>15</v>
      </c>
      <c r="K74" s="114">
        <v>15</v>
      </c>
    </row>
    <row r="75" spans="1:11" ht="24" hidden="1" outlineLevel="2">
      <c r="A75" s="111" t="s">
        <v>227</v>
      </c>
      <c r="B75" s="76" t="s">
        <v>39</v>
      </c>
      <c r="C75" s="76" t="s">
        <v>29</v>
      </c>
      <c r="D75" s="76" t="s">
        <v>226</v>
      </c>
      <c r="E75" s="77">
        <v>0</v>
      </c>
      <c r="F75" s="78"/>
      <c r="G75" s="47">
        <f>SUM(G76)</f>
        <v>0</v>
      </c>
      <c r="H75" s="114">
        <f>SUM(H76)</f>
        <v>0</v>
      </c>
      <c r="I75" s="114">
        <f>SUM(I76)</f>
        <v>0</v>
      </c>
      <c r="J75" s="114">
        <f>SUM(J76)</f>
        <v>0</v>
      </c>
      <c r="K75" s="114">
        <f>SUM(K76)</f>
        <v>0</v>
      </c>
    </row>
    <row r="76" spans="1:11" ht="24" hidden="1" outlineLevel="2">
      <c r="A76" s="111" t="s">
        <v>104</v>
      </c>
      <c r="B76" s="76" t="s">
        <v>39</v>
      </c>
      <c r="C76" s="76" t="s">
        <v>29</v>
      </c>
      <c r="D76" s="76" t="s">
        <v>226</v>
      </c>
      <c r="E76" s="77">
        <v>0</v>
      </c>
      <c r="F76" s="78">
        <v>200</v>
      </c>
      <c r="G76" s="47"/>
      <c r="H76" s="114">
        <v>0</v>
      </c>
      <c r="I76" s="114"/>
      <c r="J76" s="114">
        <v>0</v>
      </c>
      <c r="K76" s="114">
        <v>0</v>
      </c>
    </row>
    <row r="77" spans="1:11" ht="35.25" customHeight="1" outlineLevel="2">
      <c r="A77" s="75" t="s">
        <v>265</v>
      </c>
      <c r="B77" s="76" t="s">
        <v>39</v>
      </c>
      <c r="C77" s="76" t="s">
        <v>29</v>
      </c>
      <c r="D77" s="76" t="s">
        <v>190</v>
      </c>
      <c r="E77" s="77">
        <v>0</v>
      </c>
      <c r="F77" s="78"/>
      <c r="G77" s="47">
        <f>SUM(G78)</f>
        <v>0</v>
      </c>
      <c r="H77" s="114">
        <f>SUM(H78)</f>
        <v>50</v>
      </c>
      <c r="I77" s="114">
        <f>SUM(I78)</f>
        <v>0</v>
      </c>
      <c r="J77" s="114">
        <f>SUM(J78)</f>
        <v>50</v>
      </c>
      <c r="K77" s="114">
        <f>SUM(K78)</f>
        <v>50</v>
      </c>
    </row>
    <row r="78" spans="1:11" ht="24" outlineLevel="2">
      <c r="A78" s="75" t="s">
        <v>104</v>
      </c>
      <c r="B78" s="76" t="s">
        <v>39</v>
      </c>
      <c r="C78" s="76" t="s">
        <v>29</v>
      </c>
      <c r="D78" s="76" t="s">
        <v>190</v>
      </c>
      <c r="E78" s="77">
        <v>0</v>
      </c>
      <c r="F78" s="78">
        <v>200</v>
      </c>
      <c r="G78" s="47"/>
      <c r="H78" s="114">
        <f>50</f>
        <v>50</v>
      </c>
      <c r="I78" s="114"/>
      <c r="J78" s="114">
        <f>50</f>
        <v>50</v>
      </c>
      <c r="K78" s="114">
        <f>50</f>
        <v>50</v>
      </c>
    </row>
    <row r="79" spans="1:11" ht="51" customHeight="1" outlineLevel="2">
      <c r="A79" s="75" t="s">
        <v>270</v>
      </c>
      <c r="B79" s="76" t="s">
        <v>39</v>
      </c>
      <c r="C79" s="76" t="s">
        <v>29</v>
      </c>
      <c r="D79" s="76" t="s">
        <v>14</v>
      </c>
      <c r="E79" s="77">
        <v>0</v>
      </c>
      <c r="F79" s="78"/>
      <c r="G79" s="47">
        <f>SUM(G80:G81)</f>
        <v>5020</v>
      </c>
      <c r="H79" s="114">
        <f>SUM(H80:H81)</f>
        <v>25020</v>
      </c>
      <c r="I79" s="114">
        <f>SUM(I80:I81)</f>
        <v>11020</v>
      </c>
      <c r="J79" s="114">
        <f>SUM(J80:J81)</f>
        <v>31020</v>
      </c>
      <c r="K79" s="114">
        <f>SUM(K80:K81)</f>
        <v>31020</v>
      </c>
    </row>
    <row r="80" spans="1:11" ht="23.25" customHeight="1" outlineLevel="2">
      <c r="A80" s="75" t="s">
        <v>161</v>
      </c>
      <c r="B80" s="76" t="s">
        <v>39</v>
      </c>
      <c r="C80" s="76" t="s">
        <v>29</v>
      </c>
      <c r="D80" s="76" t="s">
        <v>14</v>
      </c>
      <c r="E80" s="77">
        <v>0</v>
      </c>
      <c r="F80" s="78">
        <v>600</v>
      </c>
      <c r="G80" s="47">
        <f>4000</f>
        <v>4000</v>
      </c>
      <c r="H80" s="114">
        <f>20000+4000</f>
        <v>24000</v>
      </c>
      <c r="I80" s="114">
        <f>10000</f>
        <v>10000</v>
      </c>
      <c r="J80" s="114">
        <f>20000+10000</f>
        <v>30000</v>
      </c>
      <c r="K80" s="114">
        <v>30000</v>
      </c>
    </row>
    <row r="81" spans="1:11" ht="35.25" customHeight="1" outlineLevel="2">
      <c r="A81" s="75" t="s">
        <v>323</v>
      </c>
      <c r="B81" s="76" t="s">
        <v>39</v>
      </c>
      <c r="C81" s="76" t="s">
        <v>29</v>
      </c>
      <c r="D81" s="76" t="s">
        <v>14</v>
      </c>
      <c r="E81" s="77">
        <v>0</v>
      </c>
      <c r="F81" s="78">
        <v>600</v>
      </c>
      <c r="G81" s="47">
        <v>1020</v>
      </c>
      <c r="H81" s="114">
        <v>1020</v>
      </c>
      <c r="I81" s="114">
        <v>1020</v>
      </c>
      <c r="J81" s="114">
        <v>1020</v>
      </c>
      <c r="K81" s="114">
        <v>1020</v>
      </c>
    </row>
    <row r="82" spans="1:11" ht="15.75" outlineLevel="2">
      <c r="A82" s="75" t="s">
        <v>243</v>
      </c>
      <c r="B82" s="76" t="s">
        <v>39</v>
      </c>
      <c r="C82" s="76" t="s">
        <v>29</v>
      </c>
      <c r="D82" s="76"/>
      <c r="E82" s="77"/>
      <c r="F82" s="78"/>
      <c r="G82" s="47">
        <f>SUM(G83)</f>
        <v>-40.60000000000001</v>
      </c>
      <c r="H82" s="114">
        <f>SUM(H83)</f>
        <v>1139.5</v>
      </c>
      <c r="I82" s="114">
        <f>SUM(I83)</f>
        <v>-72.5</v>
      </c>
      <c r="J82" s="114">
        <f>SUM(J83)</f>
        <v>1134.9</v>
      </c>
      <c r="K82" s="114">
        <f>SUM(K83)</f>
        <v>1171.1</v>
      </c>
    </row>
    <row r="83" spans="1:11" ht="26.25" customHeight="1" outlineLevel="2">
      <c r="A83" s="75" t="s">
        <v>105</v>
      </c>
      <c r="B83" s="76" t="s">
        <v>39</v>
      </c>
      <c r="C83" s="76" t="s">
        <v>29</v>
      </c>
      <c r="D83" s="76" t="s">
        <v>11</v>
      </c>
      <c r="E83" s="77">
        <v>0</v>
      </c>
      <c r="F83" s="78"/>
      <c r="G83" s="47">
        <f>SUM(G84:G85)</f>
        <v>-40.60000000000001</v>
      </c>
      <c r="H83" s="114">
        <f>SUM(H84:H85)</f>
        <v>1139.5</v>
      </c>
      <c r="I83" s="114">
        <f>SUM(I84:I85)</f>
        <v>-72.5</v>
      </c>
      <c r="J83" s="114">
        <f>SUM(J84:J85)</f>
        <v>1134.9</v>
      </c>
      <c r="K83" s="114">
        <f>SUM(K84:K85)</f>
        <v>1171.1</v>
      </c>
    </row>
    <row r="84" spans="1:11" ht="50.25" customHeight="1" outlineLevel="2">
      <c r="A84" s="75" t="s">
        <v>103</v>
      </c>
      <c r="B84" s="76" t="s">
        <v>39</v>
      </c>
      <c r="C84" s="76" t="s">
        <v>29</v>
      </c>
      <c r="D84" s="76" t="s">
        <v>11</v>
      </c>
      <c r="E84" s="77" t="s">
        <v>9</v>
      </c>
      <c r="F84" s="78">
        <v>100</v>
      </c>
      <c r="G84" s="47">
        <v>27.3</v>
      </c>
      <c r="H84" s="114">
        <f>941.7+21.2+27.3</f>
        <v>990.2</v>
      </c>
      <c r="I84" s="114"/>
      <c r="J84" s="114">
        <f>941.7+48.5</f>
        <v>990.2</v>
      </c>
      <c r="K84" s="114">
        <f>941.7+48.5</f>
        <v>990.2</v>
      </c>
    </row>
    <row r="85" spans="1:11" ht="24" outlineLevel="2">
      <c r="A85" s="75" t="s">
        <v>104</v>
      </c>
      <c r="B85" s="76" t="s">
        <v>39</v>
      </c>
      <c r="C85" s="76" t="s">
        <v>29</v>
      </c>
      <c r="D85" s="76" t="s">
        <v>11</v>
      </c>
      <c r="E85" s="77" t="s">
        <v>9</v>
      </c>
      <c r="F85" s="78">
        <v>200</v>
      </c>
      <c r="G85" s="47">
        <f>-40.6-27.3</f>
        <v>-67.9</v>
      </c>
      <c r="H85" s="114">
        <f>217.2-40.6-27.3</f>
        <v>149.29999999999998</v>
      </c>
      <c r="I85" s="114">
        <v>-72.5</v>
      </c>
      <c r="J85" s="114">
        <f>217.2-72.5</f>
        <v>144.7</v>
      </c>
      <c r="K85" s="114">
        <f>217.2-36.3</f>
        <v>180.89999999999998</v>
      </c>
    </row>
    <row r="86" spans="1:11" ht="27.75" customHeight="1" outlineLevel="2">
      <c r="A86" s="75" t="s">
        <v>238</v>
      </c>
      <c r="B86" s="76" t="s">
        <v>39</v>
      </c>
      <c r="C86" s="76" t="s">
        <v>29</v>
      </c>
      <c r="D86" s="76" t="s">
        <v>16</v>
      </c>
      <c r="E86" s="77">
        <v>0</v>
      </c>
      <c r="F86" s="78"/>
      <c r="G86" s="47">
        <f aca="true" t="shared" si="5" ref="G86:K87">SUM(G87)</f>
        <v>0</v>
      </c>
      <c r="H86" s="114">
        <f t="shared" si="5"/>
        <v>100</v>
      </c>
      <c r="I86" s="114">
        <f t="shared" si="5"/>
        <v>0</v>
      </c>
      <c r="J86" s="114">
        <f t="shared" si="5"/>
        <v>100</v>
      </c>
      <c r="K86" s="114">
        <f t="shared" si="5"/>
        <v>100</v>
      </c>
    </row>
    <row r="87" spans="1:11" ht="25.5" customHeight="1" outlineLevel="2">
      <c r="A87" s="75" t="s">
        <v>160</v>
      </c>
      <c r="B87" s="76" t="s">
        <v>39</v>
      </c>
      <c r="C87" s="76" t="s">
        <v>29</v>
      </c>
      <c r="D87" s="76" t="s">
        <v>16</v>
      </c>
      <c r="E87" s="77" t="s">
        <v>9</v>
      </c>
      <c r="F87" s="78"/>
      <c r="G87" s="47">
        <f t="shared" si="5"/>
        <v>0</v>
      </c>
      <c r="H87" s="114">
        <f t="shared" si="5"/>
        <v>100</v>
      </c>
      <c r="I87" s="114">
        <f t="shared" si="5"/>
        <v>0</v>
      </c>
      <c r="J87" s="114">
        <f t="shared" si="5"/>
        <v>100</v>
      </c>
      <c r="K87" s="114">
        <f t="shared" si="5"/>
        <v>100</v>
      </c>
    </row>
    <row r="88" spans="1:11" ht="24" outlineLevel="5">
      <c r="A88" s="75" t="s">
        <v>104</v>
      </c>
      <c r="B88" s="76" t="s">
        <v>39</v>
      </c>
      <c r="C88" s="76" t="s">
        <v>29</v>
      </c>
      <c r="D88" s="76" t="s">
        <v>16</v>
      </c>
      <c r="E88" s="77" t="s">
        <v>9</v>
      </c>
      <c r="F88" s="78">
        <v>200</v>
      </c>
      <c r="G88" s="47"/>
      <c r="H88" s="114">
        <v>100</v>
      </c>
      <c r="I88" s="114"/>
      <c r="J88" s="114">
        <v>100</v>
      </c>
      <c r="K88" s="114">
        <v>100</v>
      </c>
    </row>
    <row r="89" spans="1:11" ht="24" outlineLevel="5">
      <c r="A89" s="75" t="s">
        <v>237</v>
      </c>
      <c r="B89" s="76" t="s">
        <v>39</v>
      </c>
      <c r="C89" s="76" t="s">
        <v>29</v>
      </c>
      <c r="D89" s="76" t="s">
        <v>16</v>
      </c>
      <c r="E89" s="77">
        <v>0</v>
      </c>
      <c r="F89" s="78"/>
      <c r="G89" s="47">
        <f>SUM(G90)</f>
        <v>1776.42194</v>
      </c>
      <c r="H89" s="114">
        <f>SUM(H90)</f>
        <v>2896.02194</v>
      </c>
      <c r="I89" s="114">
        <f>SUM(I90)</f>
        <v>795.789</v>
      </c>
      <c r="J89" s="114">
        <f>SUM(J90)</f>
        <v>1521.3890000000001</v>
      </c>
      <c r="K89" s="114">
        <f>SUM(K90)</f>
        <v>2487.089</v>
      </c>
    </row>
    <row r="90" spans="1:11" ht="24.75" customHeight="1" outlineLevel="5">
      <c r="A90" s="75" t="s">
        <v>160</v>
      </c>
      <c r="B90" s="76" t="s">
        <v>39</v>
      </c>
      <c r="C90" s="76" t="s">
        <v>29</v>
      </c>
      <c r="D90" s="76" t="s">
        <v>16</v>
      </c>
      <c r="E90" s="77" t="s">
        <v>9</v>
      </c>
      <c r="F90" s="78"/>
      <c r="G90" s="47">
        <f>SUM(G91:G92)</f>
        <v>1776.42194</v>
      </c>
      <c r="H90" s="114">
        <f>SUM(H91:H92)</f>
        <v>2896.02194</v>
      </c>
      <c r="I90" s="114">
        <f>SUM(I91:I92)</f>
        <v>795.789</v>
      </c>
      <c r="J90" s="114">
        <f>SUM(J91:J92)</f>
        <v>1521.3890000000001</v>
      </c>
      <c r="K90" s="114">
        <f>SUM(K91:K92)</f>
        <v>2487.089</v>
      </c>
    </row>
    <row r="91" spans="1:11" ht="24" outlineLevel="5">
      <c r="A91" s="75" t="s">
        <v>104</v>
      </c>
      <c r="B91" s="76" t="s">
        <v>39</v>
      </c>
      <c r="C91" s="76" t="s">
        <v>29</v>
      </c>
      <c r="D91" s="76" t="s">
        <v>16</v>
      </c>
      <c r="E91" s="77">
        <v>0</v>
      </c>
      <c r="F91" s="78">
        <v>200</v>
      </c>
      <c r="G91" s="47">
        <f>500.42194</f>
        <v>500.42194</v>
      </c>
      <c r="H91" s="114">
        <f>730.6-705.8+60-58.5+451.9+500.42194+486.4</f>
        <v>1465.02194</v>
      </c>
      <c r="I91" s="114">
        <f>500.289-12.5</f>
        <v>487.789</v>
      </c>
      <c r="J91" s="114">
        <f>730.6-705.8+60+500.289-12.5+497.9-12.1</f>
        <v>1058.3890000000001</v>
      </c>
      <c r="K91" s="114">
        <f>730.6-705.8+60+500.389-13+508.7-24.8</f>
        <v>1056.0890000000002</v>
      </c>
    </row>
    <row r="92" spans="1:11" ht="15.75" outlineLevel="5">
      <c r="A92" s="75" t="s">
        <v>149</v>
      </c>
      <c r="B92" s="76" t="s">
        <v>39</v>
      </c>
      <c r="C92" s="76" t="s">
        <v>29</v>
      </c>
      <c r="D92" s="76" t="s">
        <v>16</v>
      </c>
      <c r="E92" s="77">
        <v>0</v>
      </c>
      <c r="F92" s="78">
        <v>800</v>
      </c>
      <c r="G92" s="47">
        <f>1288-12</f>
        <v>1276</v>
      </c>
      <c r="H92" s="114">
        <f>155-100+100+1288-12</f>
        <v>1431</v>
      </c>
      <c r="I92" s="114">
        <v>308</v>
      </c>
      <c r="J92" s="114">
        <f>155+308</f>
        <v>463</v>
      </c>
      <c r="K92" s="114">
        <f>155+1276</f>
        <v>1431</v>
      </c>
    </row>
    <row r="93" spans="1:11" ht="24" outlineLevel="5">
      <c r="A93" s="75" t="s">
        <v>331</v>
      </c>
      <c r="B93" s="76" t="s">
        <v>39</v>
      </c>
      <c r="C93" s="76" t="s">
        <v>29</v>
      </c>
      <c r="D93" s="76" t="s">
        <v>16</v>
      </c>
      <c r="E93" s="77">
        <v>0</v>
      </c>
      <c r="F93" s="78"/>
      <c r="G93" s="47">
        <f aca="true" t="shared" si="6" ref="G93:K94">SUM(G94)</f>
        <v>263.6</v>
      </c>
      <c r="H93" s="114">
        <f t="shared" si="6"/>
        <v>263.6</v>
      </c>
      <c r="I93" s="114">
        <f t="shared" si="6"/>
        <v>0</v>
      </c>
      <c r="J93" s="114">
        <f t="shared" si="6"/>
        <v>0</v>
      </c>
      <c r="K93" s="114">
        <f t="shared" si="6"/>
        <v>0</v>
      </c>
    </row>
    <row r="94" spans="1:11" ht="24" outlineLevel="5">
      <c r="A94" s="75" t="s">
        <v>160</v>
      </c>
      <c r="B94" s="76" t="s">
        <v>39</v>
      </c>
      <c r="C94" s="76" t="s">
        <v>29</v>
      </c>
      <c r="D94" s="76" t="s">
        <v>16</v>
      </c>
      <c r="E94" s="77" t="s">
        <v>9</v>
      </c>
      <c r="F94" s="78"/>
      <c r="G94" s="47">
        <f t="shared" si="6"/>
        <v>263.6</v>
      </c>
      <c r="H94" s="114">
        <f t="shared" si="6"/>
        <v>263.6</v>
      </c>
      <c r="I94" s="114">
        <f t="shared" si="6"/>
        <v>0</v>
      </c>
      <c r="J94" s="114">
        <f t="shared" si="6"/>
        <v>0</v>
      </c>
      <c r="K94" s="114">
        <f t="shared" si="6"/>
        <v>0</v>
      </c>
    </row>
    <row r="95" spans="1:11" ht="24" outlineLevel="5">
      <c r="A95" s="75" t="s">
        <v>104</v>
      </c>
      <c r="B95" s="76" t="s">
        <v>39</v>
      </c>
      <c r="C95" s="76" t="s">
        <v>29</v>
      </c>
      <c r="D95" s="76" t="s">
        <v>16</v>
      </c>
      <c r="E95" s="77">
        <v>0</v>
      </c>
      <c r="F95" s="78">
        <v>200</v>
      </c>
      <c r="G95" s="47">
        <v>263.6</v>
      </c>
      <c r="H95" s="114">
        <v>263.6</v>
      </c>
      <c r="I95" s="114"/>
      <c r="J95" s="114">
        <v>0</v>
      </c>
      <c r="K95" s="114">
        <v>0</v>
      </c>
    </row>
    <row r="96" spans="1:11" ht="15.75" outlineLevel="5">
      <c r="A96" s="75" t="s">
        <v>47</v>
      </c>
      <c r="B96" s="76" t="s">
        <v>39</v>
      </c>
      <c r="C96" s="76" t="s">
        <v>29</v>
      </c>
      <c r="D96" s="76" t="s">
        <v>16</v>
      </c>
      <c r="E96" s="77">
        <v>0</v>
      </c>
      <c r="F96" s="78"/>
      <c r="G96" s="47">
        <v>-2968.1</v>
      </c>
      <c r="H96" s="114">
        <f>7416.9-4448.8-2968.1</f>
        <v>0</v>
      </c>
      <c r="I96" s="114">
        <v>-2302.9</v>
      </c>
      <c r="J96" s="114">
        <f>5916.1-2302.9+12.1</f>
        <v>3625.3</v>
      </c>
      <c r="K96" s="114">
        <f>7367.2+24.8</f>
        <v>7392</v>
      </c>
    </row>
    <row r="97" spans="1:11" ht="15.75" outlineLevel="1">
      <c r="A97" s="75" t="s">
        <v>48</v>
      </c>
      <c r="B97" s="76" t="s">
        <v>39</v>
      </c>
      <c r="C97" s="76" t="s">
        <v>115</v>
      </c>
      <c r="D97" s="76"/>
      <c r="E97" s="77"/>
      <c r="F97" s="78"/>
      <c r="G97" s="47">
        <f aca="true" t="shared" si="7" ref="G97:K100">SUM(G98)</f>
        <v>300</v>
      </c>
      <c r="H97" s="114">
        <f t="shared" si="7"/>
        <v>320</v>
      </c>
      <c r="I97" s="114">
        <f t="shared" si="7"/>
        <v>0</v>
      </c>
      <c r="J97" s="114">
        <f t="shared" si="7"/>
        <v>20</v>
      </c>
      <c r="K97" s="114">
        <f t="shared" si="7"/>
        <v>20</v>
      </c>
    </row>
    <row r="98" spans="1:11" ht="15.75" outlineLevel="2">
      <c r="A98" s="75" t="s">
        <v>49</v>
      </c>
      <c r="B98" s="76" t="s">
        <v>39</v>
      </c>
      <c r="C98" s="76" t="s">
        <v>50</v>
      </c>
      <c r="D98" s="76"/>
      <c r="E98" s="77"/>
      <c r="F98" s="78"/>
      <c r="G98" s="47">
        <f t="shared" si="7"/>
        <v>300</v>
      </c>
      <c r="H98" s="114">
        <f t="shared" si="7"/>
        <v>320</v>
      </c>
      <c r="I98" s="114">
        <f t="shared" si="7"/>
        <v>0</v>
      </c>
      <c r="J98" s="114">
        <f t="shared" si="7"/>
        <v>20</v>
      </c>
      <c r="K98" s="114">
        <f t="shared" si="7"/>
        <v>20</v>
      </c>
    </row>
    <row r="99" spans="1:11" ht="15.75" outlineLevel="5">
      <c r="A99" s="75" t="s">
        <v>17</v>
      </c>
      <c r="B99" s="76" t="s">
        <v>39</v>
      </c>
      <c r="C99" s="76" t="s">
        <v>50</v>
      </c>
      <c r="D99" s="76"/>
      <c r="E99" s="77"/>
      <c r="F99" s="78"/>
      <c r="G99" s="47">
        <f t="shared" si="7"/>
        <v>300</v>
      </c>
      <c r="H99" s="114">
        <f t="shared" si="7"/>
        <v>320</v>
      </c>
      <c r="I99" s="114">
        <f t="shared" si="7"/>
        <v>0</v>
      </c>
      <c r="J99" s="114">
        <f t="shared" si="7"/>
        <v>20</v>
      </c>
      <c r="K99" s="114">
        <f t="shared" si="7"/>
        <v>20</v>
      </c>
    </row>
    <row r="100" spans="1:11" ht="27" customHeight="1" outlineLevel="5">
      <c r="A100" s="75" t="s">
        <v>160</v>
      </c>
      <c r="B100" s="76" t="s">
        <v>39</v>
      </c>
      <c r="C100" s="76" t="s">
        <v>50</v>
      </c>
      <c r="D100" s="76" t="s">
        <v>16</v>
      </c>
      <c r="E100" s="77">
        <v>0</v>
      </c>
      <c r="F100" s="78"/>
      <c r="G100" s="47">
        <f t="shared" si="7"/>
        <v>300</v>
      </c>
      <c r="H100" s="114">
        <f t="shared" si="7"/>
        <v>320</v>
      </c>
      <c r="I100" s="114">
        <f t="shared" si="7"/>
        <v>0</v>
      </c>
      <c r="J100" s="114">
        <f t="shared" si="7"/>
        <v>20</v>
      </c>
      <c r="K100" s="114">
        <f t="shared" si="7"/>
        <v>20</v>
      </c>
    </row>
    <row r="101" spans="1:11" ht="24" outlineLevel="5">
      <c r="A101" s="75" t="s">
        <v>104</v>
      </c>
      <c r="B101" s="76" t="s">
        <v>39</v>
      </c>
      <c r="C101" s="76" t="s">
        <v>50</v>
      </c>
      <c r="D101" s="76" t="s">
        <v>16</v>
      </c>
      <c r="E101" s="77">
        <v>0</v>
      </c>
      <c r="F101" s="78">
        <v>200</v>
      </c>
      <c r="G101" s="47">
        <v>300</v>
      </c>
      <c r="H101" s="114">
        <f>20+300</f>
        <v>320</v>
      </c>
      <c r="I101" s="114"/>
      <c r="J101" s="114">
        <v>20</v>
      </c>
      <c r="K101" s="114">
        <v>20</v>
      </c>
    </row>
    <row r="102" spans="1:11" ht="15.75" outlineLevel="5">
      <c r="A102" s="75" t="s">
        <v>120</v>
      </c>
      <c r="B102" s="76" t="s">
        <v>39</v>
      </c>
      <c r="C102" s="76" t="s">
        <v>116</v>
      </c>
      <c r="D102" s="76"/>
      <c r="E102" s="77"/>
      <c r="F102" s="78"/>
      <c r="G102" s="47">
        <f>SUM(G103+G106)</f>
        <v>0</v>
      </c>
      <c r="H102" s="114">
        <f>SUM(H103+H106)</f>
        <v>70</v>
      </c>
      <c r="I102" s="114">
        <f>SUM(I103+I106)</f>
        <v>0</v>
      </c>
      <c r="J102" s="114">
        <f>SUM(J103+J106)</f>
        <v>70</v>
      </c>
      <c r="K102" s="114">
        <f>SUM(K103+K106)</f>
        <v>70</v>
      </c>
    </row>
    <row r="103" spans="1:11" ht="15.75" outlineLevel="5">
      <c r="A103" s="75" t="s">
        <v>348</v>
      </c>
      <c r="B103" s="76" t="s">
        <v>39</v>
      </c>
      <c r="C103" s="76" t="s">
        <v>51</v>
      </c>
      <c r="D103" s="76"/>
      <c r="E103" s="77"/>
      <c r="F103" s="78"/>
      <c r="G103" s="47">
        <f aca="true" t="shared" si="8" ref="G103:K104">SUM(G104)</f>
        <v>0</v>
      </c>
      <c r="H103" s="114">
        <f t="shared" si="8"/>
        <v>20</v>
      </c>
      <c r="I103" s="114">
        <f t="shared" si="8"/>
        <v>0</v>
      </c>
      <c r="J103" s="114">
        <f t="shared" si="8"/>
        <v>20</v>
      </c>
      <c r="K103" s="114">
        <f t="shared" si="8"/>
        <v>20</v>
      </c>
    </row>
    <row r="104" spans="1:11" ht="24" outlineLevel="5">
      <c r="A104" s="75" t="s">
        <v>160</v>
      </c>
      <c r="B104" s="76" t="s">
        <v>39</v>
      </c>
      <c r="C104" s="76" t="s">
        <v>51</v>
      </c>
      <c r="D104" s="76" t="s">
        <v>16</v>
      </c>
      <c r="E104" s="77">
        <v>0</v>
      </c>
      <c r="F104" s="78"/>
      <c r="G104" s="47">
        <f t="shared" si="8"/>
        <v>0</v>
      </c>
      <c r="H104" s="114">
        <f t="shared" si="8"/>
        <v>20</v>
      </c>
      <c r="I104" s="114">
        <f t="shared" si="8"/>
        <v>0</v>
      </c>
      <c r="J104" s="114">
        <f t="shared" si="8"/>
        <v>20</v>
      </c>
      <c r="K104" s="114">
        <f t="shared" si="8"/>
        <v>20</v>
      </c>
    </row>
    <row r="105" spans="1:11" ht="24" outlineLevel="5">
      <c r="A105" s="75" t="s">
        <v>104</v>
      </c>
      <c r="B105" s="76" t="s">
        <v>39</v>
      </c>
      <c r="C105" s="76" t="s">
        <v>51</v>
      </c>
      <c r="D105" s="76" t="s">
        <v>16</v>
      </c>
      <c r="E105" s="77">
        <v>0</v>
      </c>
      <c r="F105" s="78">
        <v>200</v>
      </c>
      <c r="G105" s="47"/>
      <c r="H105" s="114">
        <v>20</v>
      </c>
      <c r="I105" s="114"/>
      <c r="J105" s="114">
        <v>20</v>
      </c>
      <c r="K105" s="114">
        <v>20</v>
      </c>
    </row>
    <row r="106" spans="1:11" ht="30" customHeight="1" outlineLevel="1">
      <c r="A106" s="75" t="s">
        <v>346</v>
      </c>
      <c r="B106" s="76" t="s">
        <v>39</v>
      </c>
      <c r="C106" s="76" t="s">
        <v>347</v>
      </c>
      <c r="D106" s="76"/>
      <c r="E106" s="77"/>
      <c r="F106" s="78"/>
      <c r="G106" s="47">
        <f aca="true" t="shared" si="9" ref="G106:K107">SUM(G107)</f>
        <v>0</v>
      </c>
      <c r="H106" s="114">
        <f t="shared" si="9"/>
        <v>50</v>
      </c>
      <c r="I106" s="114">
        <f t="shared" si="9"/>
        <v>0</v>
      </c>
      <c r="J106" s="114">
        <f t="shared" si="9"/>
        <v>50</v>
      </c>
      <c r="K106" s="114">
        <f t="shared" si="9"/>
        <v>50</v>
      </c>
    </row>
    <row r="107" spans="1:11" ht="24.75" customHeight="1" outlineLevel="2">
      <c r="A107" s="75" t="s">
        <v>160</v>
      </c>
      <c r="B107" s="76" t="s">
        <v>39</v>
      </c>
      <c r="C107" s="76" t="s">
        <v>347</v>
      </c>
      <c r="D107" s="76" t="s">
        <v>16</v>
      </c>
      <c r="E107" s="77">
        <v>0</v>
      </c>
      <c r="F107" s="78"/>
      <c r="G107" s="47">
        <f t="shared" si="9"/>
        <v>0</v>
      </c>
      <c r="H107" s="114">
        <f t="shared" si="9"/>
        <v>50</v>
      </c>
      <c r="I107" s="114">
        <f t="shared" si="9"/>
        <v>0</v>
      </c>
      <c r="J107" s="114">
        <f t="shared" si="9"/>
        <v>50</v>
      </c>
      <c r="K107" s="114">
        <f t="shared" si="9"/>
        <v>50</v>
      </c>
    </row>
    <row r="108" spans="1:11" ht="24" outlineLevel="3">
      <c r="A108" s="75" t="s">
        <v>104</v>
      </c>
      <c r="B108" s="76" t="s">
        <v>39</v>
      </c>
      <c r="C108" s="76" t="s">
        <v>347</v>
      </c>
      <c r="D108" s="76" t="s">
        <v>16</v>
      </c>
      <c r="E108" s="77">
        <v>0</v>
      </c>
      <c r="F108" s="78">
        <v>200</v>
      </c>
      <c r="G108" s="47"/>
      <c r="H108" s="114">
        <f>50+10-10</f>
        <v>50</v>
      </c>
      <c r="I108" s="114"/>
      <c r="J108" s="114">
        <f>50+10-10</f>
        <v>50</v>
      </c>
      <c r="K108" s="114">
        <f>50+10-10</f>
        <v>50</v>
      </c>
    </row>
    <row r="109" spans="1:11" ht="15" customHeight="1" outlineLevel="3">
      <c r="A109" s="75" t="s">
        <v>121</v>
      </c>
      <c r="B109" s="76" t="s">
        <v>39</v>
      </c>
      <c r="C109" s="76" t="s">
        <v>60</v>
      </c>
      <c r="D109" s="76"/>
      <c r="E109" s="77"/>
      <c r="F109" s="78"/>
      <c r="G109" s="110">
        <f>SUM(G110+G114+G122)</f>
        <v>5443.700000000001</v>
      </c>
      <c r="H109" s="116">
        <f>SUM(H110+H114+H122)</f>
        <v>24507</v>
      </c>
      <c r="I109" s="116">
        <f>SUM(I110+I114+I122)</f>
        <v>5333.700000000001</v>
      </c>
      <c r="J109" s="116">
        <f>SUM(J110+J114+J122)</f>
        <v>24482.199999999997</v>
      </c>
      <c r="K109" s="116">
        <f>SUM(K110+K114+K122)</f>
        <v>24586.3</v>
      </c>
    </row>
    <row r="110" spans="1:11" ht="15.75" outlineLevel="3">
      <c r="A110" s="75" t="s">
        <v>150</v>
      </c>
      <c r="B110" s="76" t="s">
        <v>39</v>
      </c>
      <c r="C110" s="76" t="s">
        <v>151</v>
      </c>
      <c r="D110" s="76"/>
      <c r="E110" s="77"/>
      <c r="F110" s="78"/>
      <c r="G110" s="110">
        <f>SUM(G111)</f>
        <v>139.6</v>
      </c>
      <c r="H110" s="116">
        <f>SUM(H111)</f>
        <v>139.6</v>
      </c>
      <c r="I110" s="116">
        <f>SUM(I111)</f>
        <v>139.6</v>
      </c>
      <c r="J110" s="116">
        <f>SUM(J111)</f>
        <v>139.6</v>
      </c>
      <c r="K110" s="116">
        <f>SUM(K111)</f>
        <v>139.6</v>
      </c>
    </row>
    <row r="111" spans="1:11" ht="36.75" customHeight="1" outlineLevel="3">
      <c r="A111" s="75" t="s">
        <v>239</v>
      </c>
      <c r="B111" s="76" t="s">
        <v>39</v>
      </c>
      <c r="C111" s="76" t="s">
        <v>151</v>
      </c>
      <c r="D111" s="76" t="s">
        <v>16</v>
      </c>
      <c r="E111" s="77">
        <v>0</v>
      </c>
      <c r="F111" s="78"/>
      <c r="G111" s="110">
        <f aca="true" t="shared" si="10" ref="G111:K112">SUM(G112)</f>
        <v>139.6</v>
      </c>
      <c r="H111" s="116">
        <f t="shared" si="10"/>
        <v>139.6</v>
      </c>
      <c r="I111" s="116">
        <f t="shared" si="10"/>
        <v>139.6</v>
      </c>
      <c r="J111" s="116">
        <f t="shared" si="10"/>
        <v>139.6</v>
      </c>
      <c r="K111" s="116">
        <f t="shared" si="10"/>
        <v>139.6</v>
      </c>
    </row>
    <row r="112" spans="1:11" ht="24" outlineLevel="3">
      <c r="A112" s="75" t="s">
        <v>160</v>
      </c>
      <c r="B112" s="76" t="s">
        <v>39</v>
      </c>
      <c r="C112" s="76" t="s">
        <v>151</v>
      </c>
      <c r="D112" s="76" t="s">
        <v>16</v>
      </c>
      <c r="E112" s="77">
        <v>0</v>
      </c>
      <c r="F112" s="78"/>
      <c r="G112" s="110">
        <f t="shared" si="10"/>
        <v>139.6</v>
      </c>
      <c r="H112" s="116">
        <f t="shared" si="10"/>
        <v>139.6</v>
      </c>
      <c r="I112" s="116">
        <f t="shared" si="10"/>
        <v>139.6</v>
      </c>
      <c r="J112" s="116">
        <f t="shared" si="10"/>
        <v>139.6</v>
      </c>
      <c r="K112" s="116">
        <f t="shared" si="10"/>
        <v>139.6</v>
      </c>
    </row>
    <row r="113" spans="1:11" ht="24" outlineLevel="3">
      <c r="A113" s="75" t="s">
        <v>104</v>
      </c>
      <c r="B113" s="76" t="s">
        <v>39</v>
      </c>
      <c r="C113" s="76" t="s">
        <v>151</v>
      </c>
      <c r="D113" s="76" t="s">
        <v>16</v>
      </c>
      <c r="E113" s="77">
        <v>0</v>
      </c>
      <c r="F113" s="78">
        <v>200</v>
      </c>
      <c r="G113" s="47">
        <v>139.6</v>
      </c>
      <c r="H113" s="114">
        <v>139.6</v>
      </c>
      <c r="I113" s="114">
        <v>139.6</v>
      </c>
      <c r="J113" s="114">
        <v>139.6</v>
      </c>
      <c r="K113" s="114">
        <v>139.6</v>
      </c>
    </row>
    <row r="114" spans="1:11" ht="15.75">
      <c r="A114" s="75" t="s">
        <v>122</v>
      </c>
      <c r="B114" s="76" t="s">
        <v>39</v>
      </c>
      <c r="C114" s="76" t="s">
        <v>52</v>
      </c>
      <c r="D114" s="76"/>
      <c r="E114" s="77"/>
      <c r="F114" s="78"/>
      <c r="G114" s="110">
        <f>SUM(G115+G119)</f>
        <v>5304.1</v>
      </c>
      <c r="H114" s="116">
        <f>SUM(H115+H119)</f>
        <v>23742.4</v>
      </c>
      <c r="I114" s="116">
        <f>SUM(I115+I119)</f>
        <v>5194.1</v>
      </c>
      <c r="J114" s="116">
        <f>SUM(J115+J119)</f>
        <v>24242.6</v>
      </c>
      <c r="K114" s="116">
        <f>SUM(K115+K119)</f>
        <v>24346.7</v>
      </c>
    </row>
    <row r="115" spans="1:11" ht="38.25" customHeight="1" outlineLevel="1">
      <c r="A115" s="75" t="s">
        <v>297</v>
      </c>
      <c r="B115" s="76" t="s">
        <v>39</v>
      </c>
      <c r="C115" s="76" t="s">
        <v>52</v>
      </c>
      <c r="D115" s="76" t="s">
        <v>154</v>
      </c>
      <c r="E115" s="77">
        <v>0</v>
      </c>
      <c r="F115" s="79"/>
      <c r="G115" s="47">
        <f>SUM(G116:G118)</f>
        <v>5304.1</v>
      </c>
      <c r="H115" s="114">
        <f>SUM(H116:H118)</f>
        <v>23742.4</v>
      </c>
      <c r="I115" s="114">
        <f>SUM(I116:I118)</f>
        <v>5194.1</v>
      </c>
      <c r="J115" s="114">
        <f>SUM(J116:J118)</f>
        <v>24242.6</v>
      </c>
      <c r="K115" s="114">
        <f>SUM(K116:K118)</f>
        <v>24346.7</v>
      </c>
    </row>
    <row r="116" spans="1:11" ht="24" outlineLevel="2">
      <c r="A116" s="75" t="s">
        <v>104</v>
      </c>
      <c r="B116" s="76" t="s">
        <v>39</v>
      </c>
      <c r="C116" s="76" t="s">
        <v>52</v>
      </c>
      <c r="D116" s="76" t="s">
        <v>154</v>
      </c>
      <c r="E116" s="77">
        <v>0</v>
      </c>
      <c r="F116" s="79">
        <v>200</v>
      </c>
      <c r="G116" s="47">
        <f>-695.9</f>
        <v>-695.9</v>
      </c>
      <c r="H116" s="114">
        <f>6127.4</f>
        <v>6127.4</v>
      </c>
      <c r="I116" s="114">
        <v>-805.9</v>
      </c>
      <c r="J116" s="114">
        <f>7433.5-805.9</f>
        <v>6627.6</v>
      </c>
      <c r="K116" s="114">
        <v>6731.7</v>
      </c>
    </row>
    <row r="117" spans="1:11" ht="24" outlineLevel="2">
      <c r="A117" s="75" t="s">
        <v>321</v>
      </c>
      <c r="B117" s="76" t="s">
        <v>39</v>
      </c>
      <c r="C117" s="76" t="s">
        <v>52</v>
      </c>
      <c r="D117" s="76" t="s">
        <v>154</v>
      </c>
      <c r="E117" s="77">
        <v>0</v>
      </c>
      <c r="F117" s="79">
        <v>200</v>
      </c>
      <c r="G117" s="47">
        <v>6000</v>
      </c>
      <c r="H117" s="114">
        <f>3615+8000+6000</f>
        <v>17615</v>
      </c>
      <c r="I117" s="114">
        <v>6000</v>
      </c>
      <c r="J117" s="114">
        <f>11615+6000</f>
        <v>17615</v>
      </c>
      <c r="K117" s="114">
        <v>17615</v>
      </c>
    </row>
    <row r="118" spans="1:11" ht="24" outlineLevel="2" collapsed="1">
      <c r="A118" s="75" t="s">
        <v>290</v>
      </c>
      <c r="B118" s="76" t="s">
        <v>39</v>
      </c>
      <c r="C118" s="76" t="s">
        <v>52</v>
      </c>
      <c r="D118" s="76" t="s">
        <v>154</v>
      </c>
      <c r="E118" s="77">
        <v>0</v>
      </c>
      <c r="F118" s="79">
        <v>500</v>
      </c>
      <c r="G118" s="47"/>
      <c r="H118" s="114">
        <v>0</v>
      </c>
      <c r="I118" s="114"/>
      <c r="J118" s="114">
        <v>0</v>
      </c>
      <c r="K118" s="114">
        <v>0</v>
      </c>
    </row>
    <row r="119" spans="1:11" ht="36" hidden="1" outlineLevel="3">
      <c r="A119" s="75" t="s">
        <v>263</v>
      </c>
      <c r="B119" s="76" t="s">
        <v>39</v>
      </c>
      <c r="C119" s="76" t="s">
        <v>52</v>
      </c>
      <c r="D119" s="76" t="s">
        <v>156</v>
      </c>
      <c r="E119" s="77">
        <v>0</v>
      </c>
      <c r="F119" s="78"/>
      <c r="G119" s="47">
        <f aca="true" t="shared" si="11" ref="G119:K120">SUM(G120)</f>
        <v>0</v>
      </c>
      <c r="H119" s="114">
        <f t="shared" si="11"/>
        <v>0</v>
      </c>
      <c r="I119" s="114">
        <f t="shared" si="11"/>
        <v>0</v>
      </c>
      <c r="J119" s="114">
        <f t="shared" si="11"/>
        <v>0</v>
      </c>
      <c r="K119" s="114">
        <f t="shared" si="11"/>
        <v>0</v>
      </c>
    </row>
    <row r="120" spans="1:11" ht="24" hidden="1" outlineLevel="3">
      <c r="A120" s="75" t="s">
        <v>282</v>
      </c>
      <c r="B120" s="76" t="s">
        <v>39</v>
      </c>
      <c r="C120" s="76" t="s">
        <v>52</v>
      </c>
      <c r="D120" s="76" t="s">
        <v>156</v>
      </c>
      <c r="E120" s="77">
        <v>2</v>
      </c>
      <c r="F120" s="78"/>
      <c r="G120" s="47">
        <f t="shared" si="11"/>
        <v>0</v>
      </c>
      <c r="H120" s="114">
        <f t="shared" si="11"/>
        <v>0</v>
      </c>
      <c r="I120" s="114">
        <f t="shared" si="11"/>
        <v>0</v>
      </c>
      <c r="J120" s="114">
        <f t="shared" si="11"/>
        <v>0</v>
      </c>
      <c r="K120" s="114">
        <f t="shared" si="11"/>
        <v>0</v>
      </c>
    </row>
    <row r="121" spans="1:11" ht="24" hidden="1" outlineLevel="3">
      <c r="A121" s="75" t="s">
        <v>104</v>
      </c>
      <c r="B121" s="76" t="s">
        <v>39</v>
      </c>
      <c r="C121" s="76" t="s">
        <v>52</v>
      </c>
      <c r="D121" s="76" t="s">
        <v>156</v>
      </c>
      <c r="E121" s="77">
        <v>2</v>
      </c>
      <c r="F121" s="78">
        <v>200</v>
      </c>
      <c r="G121" s="47">
        <v>0</v>
      </c>
      <c r="H121" s="114">
        <v>0</v>
      </c>
      <c r="I121" s="114">
        <v>0</v>
      </c>
      <c r="J121" s="114">
        <v>0</v>
      </c>
      <c r="K121" s="114">
        <v>0</v>
      </c>
    </row>
    <row r="122" spans="1:11" ht="14.25" customHeight="1" outlineLevel="3">
      <c r="A122" s="75" t="s">
        <v>123</v>
      </c>
      <c r="B122" s="76" t="s">
        <v>39</v>
      </c>
      <c r="C122" s="76" t="s">
        <v>53</v>
      </c>
      <c r="D122" s="76"/>
      <c r="E122" s="77"/>
      <c r="F122" s="78"/>
      <c r="G122" s="47">
        <f>SUM(G123+G130+G127)</f>
        <v>0</v>
      </c>
      <c r="H122" s="114">
        <f>SUM(H123+H130+H127)</f>
        <v>625</v>
      </c>
      <c r="I122" s="114">
        <f>SUM(I123+I130+I127)</f>
        <v>0</v>
      </c>
      <c r="J122" s="114">
        <f>SUM(J123+J130+J127)</f>
        <v>100</v>
      </c>
      <c r="K122" s="114">
        <f>SUM(K123+K130+K127)</f>
        <v>100</v>
      </c>
    </row>
    <row r="123" spans="1:11" ht="34.5" customHeight="1" outlineLevel="3">
      <c r="A123" s="75" t="s">
        <v>260</v>
      </c>
      <c r="B123" s="76" t="s">
        <v>39</v>
      </c>
      <c r="C123" s="76" t="s">
        <v>53</v>
      </c>
      <c r="D123" s="76" t="s">
        <v>13</v>
      </c>
      <c r="E123" s="77">
        <v>0</v>
      </c>
      <c r="F123" s="78"/>
      <c r="G123" s="47">
        <f>SUM(G124:G126)</f>
        <v>0</v>
      </c>
      <c r="H123" s="114">
        <f>SUM(H124:H126)</f>
        <v>100</v>
      </c>
      <c r="I123" s="114">
        <f>SUM(I124:I126)</f>
        <v>0</v>
      </c>
      <c r="J123" s="114">
        <f>SUM(J124:J126)</f>
        <v>100</v>
      </c>
      <c r="K123" s="114">
        <f>SUM(K124:K126)</f>
        <v>100</v>
      </c>
    </row>
    <row r="124" spans="1:11" ht="24" hidden="1" outlineLevel="3">
      <c r="A124" s="75" t="s">
        <v>104</v>
      </c>
      <c r="B124" s="76" t="s">
        <v>39</v>
      </c>
      <c r="C124" s="76" t="s">
        <v>53</v>
      </c>
      <c r="D124" s="76" t="s">
        <v>13</v>
      </c>
      <c r="E124" s="77">
        <v>0</v>
      </c>
      <c r="F124" s="78">
        <v>200</v>
      </c>
      <c r="G124" s="47"/>
      <c r="H124" s="114">
        <v>0</v>
      </c>
      <c r="I124" s="114"/>
      <c r="J124" s="114">
        <v>0</v>
      </c>
      <c r="K124" s="114">
        <v>0</v>
      </c>
    </row>
    <row r="125" spans="1:11" ht="16.5" customHeight="1" hidden="1" outlineLevel="3">
      <c r="A125" s="75" t="s">
        <v>162</v>
      </c>
      <c r="B125" s="76" t="s">
        <v>39</v>
      </c>
      <c r="C125" s="76" t="s">
        <v>53</v>
      </c>
      <c r="D125" s="76" t="s">
        <v>13</v>
      </c>
      <c r="E125" s="77">
        <v>0</v>
      </c>
      <c r="F125" s="78">
        <v>300</v>
      </c>
      <c r="G125" s="47"/>
      <c r="H125" s="114">
        <f>50-50</f>
        <v>0</v>
      </c>
      <c r="I125" s="114"/>
      <c r="J125" s="114">
        <v>0</v>
      </c>
      <c r="K125" s="114">
        <v>0</v>
      </c>
    </row>
    <row r="126" spans="1:11" ht="15.75" outlineLevel="3">
      <c r="A126" s="75" t="s">
        <v>149</v>
      </c>
      <c r="B126" s="76" t="s">
        <v>39</v>
      </c>
      <c r="C126" s="76" t="s">
        <v>53</v>
      </c>
      <c r="D126" s="76" t="s">
        <v>13</v>
      </c>
      <c r="E126" s="77">
        <v>0</v>
      </c>
      <c r="F126" s="78">
        <v>800</v>
      </c>
      <c r="G126" s="47"/>
      <c r="H126" s="114">
        <f>150-50</f>
        <v>100</v>
      </c>
      <c r="I126" s="114"/>
      <c r="J126" s="114">
        <v>100</v>
      </c>
      <c r="K126" s="114">
        <v>100</v>
      </c>
    </row>
    <row r="127" spans="1:11" ht="36.75" customHeight="1" outlineLevel="3">
      <c r="A127" s="75" t="s">
        <v>345</v>
      </c>
      <c r="B127" s="76" t="s">
        <v>39</v>
      </c>
      <c r="C127" s="76" t="s">
        <v>53</v>
      </c>
      <c r="D127" s="76" t="s">
        <v>284</v>
      </c>
      <c r="E127" s="77">
        <v>0</v>
      </c>
      <c r="F127" s="78"/>
      <c r="G127" s="47">
        <f>SUM(G128:G129)</f>
        <v>0</v>
      </c>
      <c r="H127" s="114">
        <f>SUM(H128:H129)</f>
        <v>525</v>
      </c>
      <c r="I127" s="114">
        <f>SUM(I128:I129)</f>
        <v>0</v>
      </c>
      <c r="J127" s="114">
        <f>SUM(J128:J129)</f>
        <v>0</v>
      </c>
      <c r="K127" s="114">
        <f>SUM(K128:K129)</f>
        <v>0</v>
      </c>
    </row>
    <row r="128" spans="1:11" ht="20.25" customHeight="1" outlineLevel="3">
      <c r="A128" s="75" t="s">
        <v>104</v>
      </c>
      <c r="B128" s="76" t="s">
        <v>39</v>
      </c>
      <c r="C128" s="76" t="s">
        <v>53</v>
      </c>
      <c r="D128" s="76" t="s">
        <v>284</v>
      </c>
      <c r="E128" s="77">
        <v>0</v>
      </c>
      <c r="F128" s="78">
        <v>200</v>
      </c>
      <c r="G128" s="47"/>
      <c r="H128" s="114">
        <f>525</f>
        <v>525</v>
      </c>
      <c r="I128" s="114"/>
      <c r="J128" s="114">
        <v>0</v>
      </c>
      <c r="K128" s="114">
        <v>0</v>
      </c>
    </row>
    <row r="129" spans="1:11" ht="17.25" customHeight="1" hidden="1" outlineLevel="3">
      <c r="A129" s="75" t="s">
        <v>163</v>
      </c>
      <c r="B129" s="76" t="s">
        <v>39</v>
      </c>
      <c r="C129" s="76" t="s">
        <v>53</v>
      </c>
      <c r="D129" s="76" t="s">
        <v>284</v>
      </c>
      <c r="E129" s="77">
        <v>0</v>
      </c>
      <c r="F129" s="78">
        <v>500</v>
      </c>
      <c r="G129" s="47"/>
      <c r="H129" s="114">
        <v>0</v>
      </c>
      <c r="I129" s="114"/>
      <c r="J129" s="114">
        <v>0</v>
      </c>
      <c r="K129" s="114">
        <v>0</v>
      </c>
    </row>
    <row r="130" spans="1:11" ht="24" hidden="1" outlineLevel="1">
      <c r="A130" s="75" t="s">
        <v>160</v>
      </c>
      <c r="B130" s="76" t="s">
        <v>39</v>
      </c>
      <c r="C130" s="76" t="s">
        <v>53</v>
      </c>
      <c r="D130" s="76" t="s">
        <v>16</v>
      </c>
      <c r="E130" s="77">
        <v>0</v>
      </c>
      <c r="F130" s="78"/>
      <c r="G130" s="47">
        <f>SUM(G131)</f>
        <v>0</v>
      </c>
      <c r="H130" s="114">
        <f>SUM(H131)</f>
        <v>0</v>
      </c>
      <c r="I130" s="114">
        <f>SUM(I131)</f>
        <v>0</v>
      </c>
      <c r="J130" s="114">
        <f>SUM(J131)</f>
        <v>0</v>
      </c>
      <c r="K130" s="114">
        <f>SUM(K131)</f>
        <v>0</v>
      </c>
    </row>
    <row r="131" spans="1:11" ht="15.75" hidden="1" outlineLevel="1">
      <c r="A131" s="75" t="s">
        <v>269</v>
      </c>
      <c r="B131" s="76" t="s">
        <v>39</v>
      </c>
      <c r="C131" s="76" t="s">
        <v>53</v>
      </c>
      <c r="D131" s="76" t="s">
        <v>16</v>
      </c>
      <c r="E131" s="77">
        <v>0</v>
      </c>
      <c r="F131" s="78">
        <v>300</v>
      </c>
      <c r="G131" s="47"/>
      <c r="H131" s="114">
        <f>530-60-470</f>
        <v>0</v>
      </c>
      <c r="I131" s="114"/>
      <c r="J131" s="114">
        <f>530-60-470</f>
        <v>0</v>
      </c>
      <c r="K131" s="114">
        <f>530-60-470</f>
        <v>0</v>
      </c>
    </row>
    <row r="132" spans="1:11" ht="13.5" customHeight="1" outlineLevel="1">
      <c r="A132" s="75" t="s">
        <v>55</v>
      </c>
      <c r="B132" s="76" t="s">
        <v>39</v>
      </c>
      <c r="C132" s="76" t="s">
        <v>56</v>
      </c>
      <c r="D132" s="76"/>
      <c r="E132" s="77"/>
      <c r="F132" s="78"/>
      <c r="G132" s="47">
        <f>SUM(G133+G146)</f>
        <v>8700.646</v>
      </c>
      <c r="H132" s="114">
        <f>SUM(H133+H146)</f>
        <v>129398.85</v>
      </c>
      <c r="I132" s="114">
        <f>SUM(I133+I146)</f>
        <v>4421.1</v>
      </c>
      <c r="J132" s="114">
        <f>SUM(J133+J146)</f>
        <v>4448</v>
      </c>
      <c r="K132" s="114">
        <f>SUM(K133+K146)</f>
        <v>4448</v>
      </c>
    </row>
    <row r="133" spans="1:11" ht="15.75" outlineLevel="1">
      <c r="A133" s="75" t="s">
        <v>54</v>
      </c>
      <c r="B133" s="76" t="s">
        <v>39</v>
      </c>
      <c r="C133" s="76" t="s">
        <v>57</v>
      </c>
      <c r="D133" s="76"/>
      <c r="E133" s="77"/>
      <c r="F133" s="78"/>
      <c r="G133" s="47">
        <f>SUM(G134+G143+G140)</f>
        <v>8700.646</v>
      </c>
      <c r="H133" s="114">
        <f>SUM(H134+H143+H140)</f>
        <v>129398.85</v>
      </c>
      <c r="I133" s="114">
        <f>SUM(I134+I143+I140)</f>
        <v>4421.1</v>
      </c>
      <c r="J133" s="114">
        <f>SUM(J134+J143+J140)</f>
        <v>4448</v>
      </c>
      <c r="K133" s="114">
        <f>SUM(K134+K143+K140)</f>
        <v>4448</v>
      </c>
    </row>
    <row r="134" spans="1:11" ht="36" outlineLevel="1">
      <c r="A134" s="75" t="s">
        <v>274</v>
      </c>
      <c r="B134" s="76" t="s">
        <v>39</v>
      </c>
      <c r="C134" s="76" t="s">
        <v>57</v>
      </c>
      <c r="D134" s="76" t="s">
        <v>6</v>
      </c>
      <c r="E134" s="77">
        <v>0</v>
      </c>
      <c r="F134" s="78"/>
      <c r="G134" s="47">
        <f>SUM(G135+G138)</f>
        <v>4448</v>
      </c>
      <c r="H134" s="114">
        <f>SUM(H135+H138)</f>
        <v>4448</v>
      </c>
      <c r="I134" s="114">
        <f>SUM(I135+I138)</f>
        <v>4448</v>
      </c>
      <c r="J134" s="114">
        <f>SUM(J135+J138)</f>
        <v>4448</v>
      </c>
      <c r="K134" s="114">
        <f>SUM(K135+K138)</f>
        <v>4448</v>
      </c>
    </row>
    <row r="135" spans="1:11" ht="38.25" customHeight="1" outlineLevel="2" collapsed="1">
      <c r="A135" s="75" t="s">
        <v>191</v>
      </c>
      <c r="B135" s="76" t="s">
        <v>39</v>
      </c>
      <c r="C135" s="76" t="s">
        <v>57</v>
      </c>
      <c r="D135" s="76" t="s">
        <v>6</v>
      </c>
      <c r="E135" s="77">
        <v>1</v>
      </c>
      <c r="F135" s="78"/>
      <c r="G135" s="47">
        <f>SUM(G136:G137)</f>
        <v>4448</v>
      </c>
      <c r="H135" s="114">
        <f>SUM(H136:H137)</f>
        <v>4448</v>
      </c>
      <c r="I135" s="114">
        <f>SUM(I136:I137)</f>
        <v>4448</v>
      </c>
      <c r="J135" s="114">
        <f>SUM(J136:J137)</f>
        <v>4448</v>
      </c>
      <c r="K135" s="114">
        <f>SUM(K136:K137)</f>
        <v>4448</v>
      </c>
    </row>
    <row r="136" spans="1:11" ht="24" hidden="1" outlineLevel="5">
      <c r="A136" s="75" t="s">
        <v>104</v>
      </c>
      <c r="B136" s="76" t="s">
        <v>39</v>
      </c>
      <c r="C136" s="76" t="s">
        <v>57</v>
      </c>
      <c r="D136" s="76" t="s">
        <v>6</v>
      </c>
      <c r="E136" s="77">
        <v>1</v>
      </c>
      <c r="F136" s="78">
        <v>200</v>
      </c>
      <c r="G136" s="47"/>
      <c r="H136" s="114">
        <v>0</v>
      </c>
      <c r="I136" s="114"/>
      <c r="J136" s="114">
        <v>0</v>
      </c>
      <c r="K136" s="114">
        <v>0</v>
      </c>
    </row>
    <row r="137" spans="1:11" ht="12.75" customHeight="1" outlineLevel="2" collapsed="1">
      <c r="A137" s="75" t="s">
        <v>163</v>
      </c>
      <c r="B137" s="76" t="s">
        <v>39</v>
      </c>
      <c r="C137" s="76" t="s">
        <v>57</v>
      </c>
      <c r="D137" s="76" t="s">
        <v>6</v>
      </c>
      <c r="E137" s="77">
        <v>1</v>
      </c>
      <c r="F137" s="78">
        <v>500</v>
      </c>
      <c r="G137" s="47">
        <v>4448</v>
      </c>
      <c r="H137" s="114">
        <f>4448</f>
        <v>4448</v>
      </c>
      <c r="I137" s="114">
        <v>4448</v>
      </c>
      <c r="J137" s="114">
        <f>4448</f>
        <v>4448</v>
      </c>
      <c r="K137" s="114">
        <v>4448</v>
      </c>
    </row>
    <row r="138" spans="1:11" ht="24" hidden="1" outlineLevel="5">
      <c r="A138" s="75" t="s">
        <v>192</v>
      </c>
      <c r="B138" s="76" t="s">
        <v>39</v>
      </c>
      <c r="C138" s="76" t="s">
        <v>57</v>
      </c>
      <c r="D138" s="76" t="s">
        <v>6</v>
      </c>
      <c r="E138" s="77">
        <v>4</v>
      </c>
      <c r="F138" s="78"/>
      <c r="G138" s="47">
        <f>SUM(G139)</f>
        <v>0</v>
      </c>
      <c r="H138" s="114">
        <f>SUM(H139)</f>
        <v>0</v>
      </c>
      <c r="I138" s="114">
        <f>SUM(I139)</f>
        <v>0</v>
      </c>
      <c r="J138" s="114">
        <f>SUM(J139)</f>
        <v>0</v>
      </c>
      <c r="K138" s="114">
        <f>SUM(K139)</f>
        <v>0</v>
      </c>
    </row>
    <row r="139" spans="1:11" ht="24" hidden="1" outlineLevel="5">
      <c r="A139" s="75" t="s">
        <v>104</v>
      </c>
      <c r="B139" s="76" t="s">
        <v>39</v>
      </c>
      <c r="C139" s="76" t="s">
        <v>57</v>
      </c>
      <c r="D139" s="76" t="s">
        <v>6</v>
      </c>
      <c r="E139" s="77">
        <v>4</v>
      </c>
      <c r="F139" s="78">
        <v>200</v>
      </c>
      <c r="G139" s="47"/>
      <c r="H139" s="114">
        <v>0</v>
      </c>
      <c r="I139" s="114"/>
      <c r="J139" s="114">
        <v>0</v>
      </c>
      <c r="K139" s="114">
        <v>0</v>
      </c>
    </row>
    <row r="140" spans="1:11" ht="24" outlineLevel="5">
      <c r="A140" s="75" t="s">
        <v>298</v>
      </c>
      <c r="B140" s="76" t="s">
        <v>39</v>
      </c>
      <c r="C140" s="76" t="s">
        <v>57</v>
      </c>
      <c r="D140" s="76" t="s">
        <v>12</v>
      </c>
      <c r="E140" s="77">
        <v>0</v>
      </c>
      <c r="F140" s="78"/>
      <c r="G140" s="47">
        <f>SUM(G141:G142)</f>
        <v>4223.546</v>
      </c>
      <c r="H140" s="114">
        <f>SUM(H141:H142)</f>
        <v>124897.25</v>
      </c>
      <c r="I140" s="114">
        <f>SUM(I141:I142)</f>
        <v>0</v>
      </c>
      <c r="J140" s="114">
        <f>SUM(J141:J142)</f>
        <v>0</v>
      </c>
      <c r="K140" s="114">
        <f>SUM(K141:K142)</f>
        <v>0</v>
      </c>
    </row>
    <row r="141" spans="1:11" ht="36" outlineLevel="5">
      <c r="A141" s="75" t="s">
        <v>312</v>
      </c>
      <c r="B141" s="76" t="s">
        <v>39</v>
      </c>
      <c r="C141" s="76" t="s">
        <v>57</v>
      </c>
      <c r="D141" s="76" t="s">
        <v>12</v>
      </c>
      <c r="E141" s="77">
        <v>0</v>
      </c>
      <c r="F141" s="78">
        <v>400</v>
      </c>
      <c r="G141" s="47"/>
      <c r="H141" s="114">
        <v>120673.704</v>
      </c>
      <c r="I141" s="114"/>
      <c r="J141" s="114">
        <v>0</v>
      </c>
      <c r="K141" s="114">
        <v>0</v>
      </c>
    </row>
    <row r="142" spans="1:11" ht="24" outlineLevel="5">
      <c r="A142" s="75" t="s">
        <v>299</v>
      </c>
      <c r="B142" s="76" t="s">
        <v>39</v>
      </c>
      <c r="C142" s="76" t="s">
        <v>57</v>
      </c>
      <c r="D142" s="76" t="s">
        <v>12</v>
      </c>
      <c r="E142" s="77">
        <v>0</v>
      </c>
      <c r="F142" s="78">
        <v>400</v>
      </c>
      <c r="G142" s="47">
        <v>4223.546</v>
      </c>
      <c r="H142" s="114">
        <f>4223.546</f>
        <v>4223.546</v>
      </c>
      <c r="I142" s="114"/>
      <c r="J142" s="114">
        <v>0</v>
      </c>
      <c r="K142" s="114">
        <v>0</v>
      </c>
    </row>
    <row r="143" spans="1:11" ht="49.5" customHeight="1" outlineLevel="5">
      <c r="A143" s="75" t="s">
        <v>254</v>
      </c>
      <c r="B143" s="76" t="s">
        <v>39</v>
      </c>
      <c r="C143" s="76" t="s">
        <v>57</v>
      </c>
      <c r="D143" s="76"/>
      <c r="E143" s="77"/>
      <c r="F143" s="78"/>
      <c r="G143" s="47">
        <f aca="true" t="shared" si="12" ref="G143:K144">SUM(G144)</f>
        <v>29.1</v>
      </c>
      <c r="H143" s="114">
        <f t="shared" si="12"/>
        <v>53.60000000000001</v>
      </c>
      <c r="I143" s="114">
        <f t="shared" si="12"/>
        <v>-26.9</v>
      </c>
      <c r="J143" s="114">
        <f t="shared" si="12"/>
        <v>0</v>
      </c>
      <c r="K143" s="114">
        <f t="shared" si="12"/>
        <v>0</v>
      </c>
    </row>
    <row r="144" spans="1:11" ht="24" outlineLevel="5">
      <c r="A144" s="75" t="s">
        <v>160</v>
      </c>
      <c r="B144" s="76" t="s">
        <v>39</v>
      </c>
      <c r="C144" s="76" t="s">
        <v>57</v>
      </c>
      <c r="D144" s="76" t="s">
        <v>16</v>
      </c>
      <c r="E144" s="77">
        <v>0</v>
      </c>
      <c r="F144" s="78"/>
      <c r="G144" s="47">
        <f t="shared" si="12"/>
        <v>29.1</v>
      </c>
      <c r="H144" s="114">
        <f t="shared" si="12"/>
        <v>53.60000000000001</v>
      </c>
      <c r="I144" s="114">
        <f t="shared" si="12"/>
        <v>-26.9</v>
      </c>
      <c r="J144" s="114">
        <f t="shared" si="12"/>
        <v>0</v>
      </c>
      <c r="K144" s="114">
        <f t="shared" si="12"/>
        <v>0</v>
      </c>
    </row>
    <row r="145" spans="1:11" ht="15.75" outlineLevel="5">
      <c r="A145" s="75" t="s">
        <v>149</v>
      </c>
      <c r="B145" s="76" t="s">
        <v>39</v>
      </c>
      <c r="C145" s="76" t="s">
        <v>57</v>
      </c>
      <c r="D145" s="76" t="s">
        <v>16</v>
      </c>
      <c r="E145" s="77">
        <v>0</v>
      </c>
      <c r="F145" s="78">
        <v>800</v>
      </c>
      <c r="G145" s="47">
        <v>29.1</v>
      </c>
      <c r="H145" s="114">
        <f>16.2+58.2-49.9+29.1</f>
        <v>53.60000000000001</v>
      </c>
      <c r="I145" s="114">
        <v>-26.9</v>
      </c>
      <c r="J145" s="114">
        <f>78.8-51.9-26.9</f>
        <v>0</v>
      </c>
      <c r="K145" s="114">
        <v>0</v>
      </c>
    </row>
    <row r="146" spans="1:11" ht="15.75" hidden="1" outlineLevel="5">
      <c r="A146" s="75" t="s">
        <v>139</v>
      </c>
      <c r="B146" s="76" t="s">
        <v>39</v>
      </c>
      <c r="C146" s="76" t="s">
        <v>138</v>
      </c>
      <c r="D146" s="76"/>
      <c r="E146" s="77"/>
      <c r="F146" s="78"/>
      <c r="G146" s="47">
        <f>SUM(G147)</f>
        <v>0</v>
      </c>
      <c r="H146" s="114">
        <f>SUM(H147)</f>
        <v>0</v>
      </c>
      <c r="I146" s="114">
        <f>SUM(I147)</f>
        <v>0</v>
      </c>
      <c r="J146" s="114">
        <f>SUM(J147)</f>
        <v>0</v>
      </c>
      <c r="K146" s="114">
        <f>SUM(K147)</f>
        <v>0</v>
      </c>
    </row>
    <row r="147" spans="1:11" ht="24" hidden="1" outlineLevel="5">
      <c r="A147" s="75" t="s">
        <v>298</v>
      </c>
      <c r="B147" s="76" t="s">
        <v>39</v>
      </c>
      <c r="C147" s="76" t="s">
        <v>138</v>
      </c>
      <c r="D147" s="76" t="s">
        <v>12</v>
      </c>
      <c r="E147" s="77">
        <v>0</v>
      </c>
      <c r="F147" s="78"/>
      <c r="G147" s="47">
        <f>SUM(G148:G148)</f>
        <v>0</v>
      </c>
      <c r="H147" s="114">
        <f>SUM(H148:H148)</f>
        <v>0</v>
      </c>
      <c r="I147" s="114">
        <f>SUM(I148:I148)</f>
        <v>0</v>
      </c>
      <c r="J147" s="114">
        <f>SUM(J148:J148)</f>
        <v>0</v>
      </c>
      <c r="K147" s="114">
        <f>SUM(K148:K148)</f>
        <v>0</v>
      </c>
    </row>
    <row r="148" spans="1:11" ht="24" hidden="1" outlineLevel="5">
      <c r="A148" s="75" t="s">
        <v>161</v>
      </c>
      <c r="B148" s="76" t="s">
        <v>39</v>
      </c>
      <c r="C148" s="76" t="s">
        <v>138</v>
      </c>
      <c r="D148" s="76" t="s">
        <v>12</v>
      </c>
      <c r="E148" s="77">
        <v>0</v>
      </c>
      <c r="F148" s="78">
        <v>600</v>
      </c>
      <c r="G148" s="47"/>
      <c r="H148" s="114">
        <v>0</v>
      </c>
      <c r="I148" s="114"/>
      <c r="J148" s="114">
        <v>0</v>
      </c>
      <c r="K148" s="114">
        <v>0</v>
      </c>
    </row>
    <row r="149" spans="1:11" ht="15.75" outlineLevel="5">
      <c r="A149" s="75" t="s">
        <v>58</v>
      </c>
      <c r="B149" s="76" t="s">
        <v>39</v>
      </c>
      <c r="C149" s="76" t="s">
        <v>117</v>
      </c>
      <c r="D149" s="76"/>
      <c r="E149" s="77"/>
      <c r="F149" s="78"/>
      <c r="G149" s="47">
        <f>SUM(G150)</f>
        <v>-30</v>
      </c>
      <c r="H149" s="114">
        <f>SUM(H150)</f>
        <v>20</v>
      </c>
      <c r="I149" s="114">
        <f>SUM(I150)</f>
        <v>-30</v>
      </c>
      <c r="J149" s="114">
        <f>SUM(J150)</f>
        <v>20</v>
      </c>
      <c r="K149" s="114">
        <f>SUM(K150)</f>
        <v>20</v>
      </c>
    </row>
    <row r="150" spans="1:11" ht="27" customHeight="1" outlineLevel="5">
      <c r="A150" s="75" t="s">
        <v>257</v>
      </c>
      <c r="B150" s="76" t="s">
        <v>39</v>
      </c>
      <c r="C150" s="76" t="s">
        <v>61</v>
      </c>
      <c r="D150" s="76" t="s">
        <v>15</v>
      </c>
      <c r="E150" s="77">
        <v>0</v>
      </c>
      <c r="F150" s="78"/>
      <c r="G150" s="47">
        <f>SUM(G151:G152)</f>
        <v>-30</v>
      </c>
      <c r="H150" s="114">
        <f>SUM(H151:H152)</f>
        <v>20</v>
      </c>
      <c r="I150" s="114">
        <f>SUM(I151:I152)</f>
        <v>-30</v>
      </c>
      <c r="J150" s="114">
        <f>SUM(J151:J152)</f>
        <v>20</v>
      </c>
      <c r="K150" s="114">
        <f>SUM(K151:K152)</f>
        <v>20</v>
      </c>
    </row>
    <row r="151" spans="1:11" ht="20.25" customHeight="1" outlineLevel="5">
      <c r="A151" s="75" t="s">
        <v>104</v>
      </c>
      <c r="B151" s="76" t="s">
        <v>39</v>
      </c>
      <c r="C151" s="76" t="s">
        <v>61</v>
      </c>
      <c r="D151" s="76" t="s">
        <v>15</v>
      </c>
      <c r="E151" s="77">
        <v>0</v>
      </c>
      <c r="F151" s="78">
        <v>200</v>
      </c>
      <c r="G151" s="47">
        <v>-30</v>
      </c>
      <c r="H151" s="114">
        <f>50-30</f>
        <v>20</v>
      </c>
      <c r="I151" s="114">
        <v>-30</v>
      </c>
      <c r="J151" s="114">
        <f>50-30</f>
        <v>20</v>
      </c>
      <c r="K151" s="114">
        <f>50-30</f>
        <v>20</v>
      </c>
    </row>
    <row r="152" spans="1:11" ht="24" customHeight="1" hidden="1" outlineLevel="5">
      <c r="A152" s="75" t="s">
        <v>161</v>
      </c>
      <c r="B152" s="76" t="s">
        <v>39</v>
      </c>
      <c r="C152" s="76" t="s">
        <v>61</v>
      </c>
      <c r="D152" s="76" t="s">
        <v>15</v>
      </c>
      <c r="E152" s="77">
        <v>0</v>
      </c>
      <c r="F152" s="78">
        <v>600</v>
      </c>
      <c r="G152" s="47"/>
      <c r="H152" s="114">
        <v>0</v>
      </c>
      <c r="I152" s="114"/>
      <c r="J152" s="114">
        <v>0</v>
      </c>
      <c r="K152" s="114">
        <v>0</v>
      </c>
    </row>
    <row r="153" spans="1:11" ht="18.75" customHeight="1" outlineLevel="5">
      <c r="A153" s="75" t="s">
        <v>62</v>
      </c>
      <c r="B153" s="76" t="s">
        <v>39</v>
      </c>
      <c r="C153" s="76" t="s">
        <v>65</v>
      </c>
      <c r="D153" s="76"/>
      <c r="E153" s="77"/>
      <c r="F153" s="78"/>
      <c r="G153" s="47">
        <f>SUM(G154+G176+G223+G239+G215)</f>
        <v>26215.23206</v>
      </c>
      <c r="H153" s="114">
        <f>SUM(H154+H176+H223+H239+H215)</f>
        <v>238832.63206000003</v>
      </c>
      <c r="I153" s="114">
        <f>SUM(I154+I176+I223+I239+I215)</f>
        <v>12499.710999999998</v>
      </c>
      <c r="J153" s="114">
        <f>SUM(J154+J176+J223+J239+J215)</f>
        <v>221622.71099999998</v>
      </c>
      <c r="K153" s="114">
        <f>SUM(K154+K176+K223+K239+K215)</f>
        <v>205512.51100000003</v>
      </c>
    </row>
    <row r="154" spans="1:11" ht="19.5" customHeight="1" outlineLevel="1">
      <c r="A154" s="75" t="s">
        <v>63</v>
      </c>
      <c r="B154" s="76" t="s">
        <v>39</v>
      </c>
      <c r="C154" s="76" t="s">
        <v>64</v>
      </c>
      <c r="D154" s="76"/>
      <c r="E154" s="77"/>
      <c r="F154" s="78"/>
      <c r="G154" s="47">
        <f>SUM(G155+G163+G161+G169)</f>
        <v>892.9290000000001</v>
      </c>
      <c r="H154" s="114">
        <f>SUM(H155+H163+H161+H169)</f>
        <v>37951.829</v>
      </c>
      <c r="I154" s="114">
        <f>SUM(I155+I163+I161+I169)</f>
        <v>-2408.6710000000003</v>
      </c>
      <c r="J154" s="114">
        <f>SUM(J155+J163+J161+J169)</f>
        <v>34370.229</v>
      </c>
      <c r="K154" s="114">
        <f>SUM(K155+K163+K161+K169)</f>
        <v>35368.528999999995</v>
      </c>
    </row>
    <row r="155" spans="1:11" ht="21.75" customHeight="1" outlineLevel="2" collapsed="1">
      <c r="A155" s="75" t="s">
        <v>274</v>
      </c>
      <c r="B155" s="76" t="s">
        <v>39</v>
      </c>
      <c r="C155" s="76" t="s">
        <v>64</v>
      </c>
      <c r="D155" s="76" t="s">
        <v>6</v>
      </c>
      <c r="E155" s="77">
        <v>0</v>
      </c>
      <c r="F155" s="78"/>
      <c r="G155" s="47">
        <f>SUM(G156+G159)</f>
        <v>0</v>
      </c>
      <c r="H155" s="114">
        <f>SUM(H156+H159)</f>
        <v>280</v>
      </c>
      <c r="I155" s="114">
        <f>SUM(I156+I159)</f>
        <v>0</v>
      </c>
      <c r="J155" s="114">
        <f>SUM(J156+J159)</f>
        <v>0</v>
      </c>
      <c r="K155" s="114">
        <f>SUM(K156+K159)</f>
        <v>0</v>
      </c>
    </row>
    <row r="156" spans="1:11" ht="27.75" customHeight="1" hidden="1" outlineLevel="3">
      <c r="A156" s="75" t="s">
        <v>209</v>
      </c>
      <c r="B156" s="76" t="s">
        <v>39</v>
      </c>
      <c r="C156" s="76" t="s">
        <v>64</v>
      </c>
      <c r="D156" s="76" t="s">
        <v>6</v>
      </c>
      <c r="E156" s="77">
        <v>3</v>
      </c>
      <c r="F156" s="78"/>
      <c r="G156" s="47">
        <f>SUM(G157:G158)</f>
        <v>0</v>
      </c>
      <c r="H156" s="114">
        <f>SUM(H157:H158)</f>
        <v>0</v>
      </c>
      <c r="I156" s="114">
        <f>SUM(I157:I158)</f>
        <v>0</v>
      </c>
      <c r="J156" s="114">
        <f>SUM(J157:J158)</f>
        <v>0</v>
      </c>
      <c r="K156" s="114">
        <f>SUM(K157:K158)</f>
        <v>0</v>
      </c>
    </row>
    <row r="157" spans="1:11" ht="21" customHeight="1" hidden="1" outlineLevel="3">
      <c r="A157" s="75" t="s">
        <v>164</v>
      </c>
      <c r="B157" s="76" t="s">
        <v>39</v>
      </c>
      <c r="C157" s="76" t="s">
        <v>64</v>
      </c>
      <c r="D157" s="76" t="s">
        <v>6</v>
      </c>
      <c r="E157" s="77">
        <v>3</v>
      </c>
      <c r="F157" s="78">
        <v>400</v>
      </c>
      <c r="G157" s="47"/>
      <c r="H157" s="114">
        <v>0</v>
      </c>
      <c r="I157" s="114"/>
      <c r="J157" s="114">
        <v>0</v>
      </c>
      <c r="K157" s="114">
        <v>0</v>
      </c>
    </row>
    <row r="158" spans="1:11" ht="24" hidden="1">
      <c r="A158" s="75" t="s">
        <v>161</v>
      </c>
      <c r="B158" s="76" t="s">
        <v>39</v>
      </c>
      <c r="C158" s="76" t="s">
        <v>64</v>
      </c>
      <c r="D158" s="76" t="s">
        <v>6</v>
      </c>
      <c r="E158" s="77">
        <v>3</v>
      </c>
      <c r="F158" s="78">
        <v>600</v>
      </c>
      <c r="G158" s="47"/>
      <c r="H158" s="114">
        <v>0</v>
      </c>
      <c r="I158" s="114"/>
      <c r="J158" s="114">
        <v>0</v>
      </c>
      <c r="K158" s="114">
        <v>0</v>
      </c>
    </row>
    <row r="159" spans="1:11" ht="27" customHeight="1">
      <c r="A159" s="75" t="s">
        <v>192</v>
      </c>
      <c r="B159" s="76" t="s">
        <v>39</v>
      </c>
      <c r="C159" s="76" t="s">
        <v>64</v>
      </c>
      <c r="D159" s="76" t="s">
        <v>6</v>
      </c>
      <c r="E159" s="77">
        <v>4</v>
      </c>
      <c r="F159" s="78"/>
      <c r="G159" s="47">
        <f>SUM(G160:G160)</f>
        <v>0</v>
      </c>
      <c r="H159" s="114">
        <f>SUM(H160:H160)</f>
        <v>280</v>
      </c>
      <c r="I159" s="114">
        <f>SUM(I160:I160)</f>
        <v>0</v>
      </c>
      <c r="J159" s="114">
        <f>SUM(J160:J160)</f>
        <v>0</v>
      </c>
      <c r="K159" s="114">
        <f>SUM(K160:K160)</f>
        <v>0</v>
      </c>
    </row>
    <row r="160" spans="1:11" ht="21.75" customHeight="1">
      <c r="A160" s="75" t="s">
        <v>161</v>
      </c>
      <c r="B160" s="76" t="s">
        <v>39</v>
      </c>
      <c r="C160" s="76" t="s">
        <v>64</v>
      </c>
      <c r="D160" s="76" t="s">
        <v>6</v>
      </c>
      <c r="E160" s="77">
        <v>4</v>
      </c>
      <c r="F160" s="78">
        <v>600</v>
      </c>
      <c r="G160" s="47"/>
      <c r="H160" s="114">
        <v>280</v>
      </c>
      <c r="I160" s="114"/>
      <c r="J160" s="114">
        <f>280-280</f>
        <v>0</v>
      </c>
      <c r="K160" s="114">
        <f>280-280</f>
        <v>0</v>
      </c>
    </row>
    <row r="161" spans="1:11" ht="38.25" customHeight="1">
      <c r="A161" s="75" t="s">
        <v>250</v>
      </c>
      <c r="B161" s="76" t="s">
        <v>39</v>
      </c>
      <c r="C161" s="76" t="s">
        <v>64</v>
      </c>
      <c r="D161" s="76" t="s">
        <v>210</v>
      </c>
      <c r="E161" s="77">
        <v>0</v>
      </c>
      <c r="F161" s="78"/>
      <c r="G161" s="47">
        <f>SUM(G162:G162)</f>
        <v>38.029</v>
      </c>
      <c r="H161" s="114">
        <f>SUM(H162:H162)</f>
        <v>136.829</v>
      </c>
      <c r="I161" s="114">
        <f>SUM(I162:I162)</f>
        <v>38.029</v>
      </c>
      <c r="J161" s="114">
        <f>SUM(J162:J162)</f>
        <v>136.829</v>
      </c>
      <c r="K161" s="114">
        <f>SUM(K162:K162)</f>
        <v>136.829</v>
      </c>
    </row>
    <row r="162" spans="1:11" ht="23.25" customHeight="1">
      <c r="A162" s="75" t="s">
        <v>161</v>
      </c>
      <c r="B162" s="76" t="s">
        <v>39</v>
      </c>
      <c r="C162" s="76" t="s">
        <v>64</v>
      </c>
      <c r="D162" s="76" t="s">
        <v>210</v>
      </c>
      <c r="E162" s="77">
        <v>0</v>
      </c>
      <c r="F162" s="78">
        <v>600</v>
      </c>
      <c r="G162" s="47">
        <f>38.029</f>
        <v>38.029</v>
      </c>
      <c r="H162" s="114">
        <f>98.8+38.029</f>
        <v>136.829</v>
      </c>
      <c r="I162" s="114">
        <f>38.029</f>
        <v>38.029</v>
      </c>
      <c r="J162" s="114">
        <f>98.8+38.029</f>
        <v>136.829</v>
      </c>
      <c r="K162" s="114">
        <v>136.829</v>
      </c>
    </row>
    <row r="163" spans="1:11" ht="36" outlineLevel="5">
      <c r="A163" s="75" t="s">
        <v>276</v>
      </c>
      <c r="B163" s="76" t="s">
        <v>39</v>
      </c>
      <c r="C163" s="76" t="s">
        <v>64</v>
      </c>
      <c r="D163" s="76" t="s">
        <v>19</v>
      </c>
      <c r="E163" s="77">
        <v>0</v>
      </c>
      <c r="F163" s="78"/>
      <c r="G163" s="47">
        <f>SUM(G164:G168)</f>
        <v>146.8</v>
      </c>
      <c r="H163" s="114">
        <f>SUM(H164:H168)</f>
        <v>25343</v>
      </c>
      <c r="I163" s="114">
        <f>SUM(I164:I168)</f>
        <v>-1906.2</v>
      </c>
      <c r="J163" s="114">
        <f>SUM(J164:J168)</f>
        <v>23290</v>
      </c>
      <c r="K163" s="114">
        <f>SUM(K164:K168)</f>
        <v>23910.799999999996</v>
      </c>
    </row>
    <row r="164" spans="1:11" ht="24" outlineLevel="5">
      <c r="A164" s="75" t="s">
        <v>161</v>
      </c>
      <c r="B164" s="76" t="s">
        <v>39</v>
      </c>
      <c r="C164" s="76" t="s">
        <v>64</v>
      </c>
      <c r="D164" s="76" t="s">
        <v>19</v>
      </c>
      <c r="E164" s="77">
        <v>0</v>
      </c>
      <c r="F164" s="78">
        <v>600</v>
      </c>
      <c r="G164" s="47"/>
      <c r="H164" s="114">
        <v>10192.4</v>
      </c>
      <c r="I164" s="114"/>
      <c r="J164" s="114">
        <v>10192.4</v>
      </c>
      <c r="K164" s="114">
        <v>10192.4</v>
      </c>
    </row>
    <row r="165" spans="1:11" ht="30" customHeight="1" outlineLevel="5">
      <c r="A165" s="75" t="s">
        <v>153</v>
      </c>
      <c r="B165" s="76" t="s">
        <v>39</v>
      </c>
      <c r="C165" s="76" t="s">
        <v>64</v>
      </c>
      <c r="D165" s="76" t="s">
        <v>19</v>
      </c>
      <c r="E165" s="77">
        <v>0</v>
      </c>
      <c r="F165" s="78">
        <v>600</v>
      </c>
      <c r="G165" s="47">
        <v>122.7</v>
      </c>
      <c r="H165" s="114">
        <f>15078-74.2+122.7</f>
        <v>15126.5</v>
      </c>
      <c r="I165" s="114">
        <v>-1930.3</v>
      </c>
      <c r="J165" s="114">
        <f>15003.8-1930.3</f>
        <v>13073.5</v>
      </c>
      <c r="K165" s="114">
        <v>13694.3</v>
      </c>
    </row>
    <row r="166" spans="1:11" ht="0.75" customHeight="1" hidden="1" outlineLevel="5">
      <c r="A166" s="75" t="s">
        <v>329</v>
      </c>
      <c r="B166" s="76" t="s">
        <v>39</v>
      </c>
      <c r="C166" s="76" t="s">
        <v>64</v>
      </c>
      <c r="D166" s="76" t="s">
        <v>19</v>
      </c>
      <c r="E166" s="77">
        <v>0</v>
      </c>
      <c r="F166" s="78">
        <v>600</v>
      </c>
      <c r="G166" s="47"/>
      <c r="H166" s="114">
        <v>0</v>
      </c>
      <c r="I166" s="114"/>
      <c r="J166" s="114">
        <v>0</v>
      </c>
      <c r="K166" s="114">
        <v>0</v>
      </c>
    </row>
    <row r="167" spans="1:11" ht="24" outlineLevel="5">
      <c r="A167" s="75" t="s">
        <v>165</v>
      </c>
      <c r="B167" s="76" t="s">
        <v>39</v>
      </c>
      <c r="C167" s="76" t="s">
        <v>64</v>
      </c>
      <c r="D167" s="76" t="s">
        <v>19</v>
      </c>
      <c r="E167" s="77">
        <v>0</v>
      </c>
      <c r="F167" s="78">
        <v>600</v>
      </c>
      <c r="G167" s="47">
        <v>24.1</v>
      </c>
      <c r="H167" s="114">
        <v>24.1</v>
      </c>
      <c r="I167" s="114">
        <v>24.1</v>
      </c>
      <c r="J167" s="114">
        <v>24.1</v>
      </c>
      <c r="K167" s="114">
        <v>24.1</v>
      </c>
    </row>
    <row r="168" spans="1:11" ht="96" hidden="1" outlineLevel="5">
      <c r="A168" s="75" t="s">
        <v>289</v>
      </c>
      <c r="B168" s="76" t="s">
        <v>39</v>
      </c>
      <c r="C168" s="76" t="s">
        <v>64</v>
      </c>
      <c r="D168" s="76" t="s">
        <v>19</v>
      </c>
      <c r="E168" s="77">
        <v>0</v>
      </c>
      <c r="F168" s="78">
        <v>600</v>
      </c>
      <c r="G168" s="47"/>
      <c r="H168" s="114">
        <v>0</v>
      </c>
      <c r="I168" s="114"/>
      <c r="J168" s="114">
        <v>0</v>
      </c>
      <c r="K168" s="114">
        <v>0</v>
      </c>
    </row>
    <row r="169" spans="1:11" ht="36" outlineLevel="5">
      <c r="A169" s="75" t="s">
        <v>340</v>
      </c>
      <c r="B169" s="76" t="s">
        <v>39</v>
      </c>
      <c r="C169" s="76" t="s">
        <v>64</v>
      </c>
      <c r="D169" s="76" t="s">
        <v>20</v>
      </c>
      <c r="E169" s="77">
        <v>0</v>
      </c>
      <c r="F169" s="112"/>
      <c r="G169" s="110">
        <f>SUM(G170)</f>
        <v>708.1</v>
      </c>
      <c r="H169" s="116">
        <f>SUM(H170)</f>
        <v>12192</v>
      </c>
      <c r="I169" s="116">
        <f>SUM(I170)</f>
        <v>-540.5000000000001</v>
      </c>
      <c r="J169" s="116">
        <f>SUM(J170)</f>
        <v>10943.4</v>
      </c>
      <c r="K169" s="116">
        <f>SUM(K170)</f>
        <v>11320.9</v>
      </c>
    </row>
    <row r="170" spans="1:11" ht="15.75" outlineLevel="5">
      <c r="A170" s="75" t="s">
        <v>339</v>
      </c>
      <c r="B170" s="76" t="s">
        <v>39</v>
      </c>
      <c r="C170" s="76" t="s">
        <v>64</v>
      </c>
      <c r="D170" s="76" t="s">
        <v>20</v>
      </c>
      <c r="E170" s="77">
        <v>1</v>
      </c>
      <c r="F170" s="112"/>
      <c r="G170" s="110">
        <f>SUM(G171:G175)</f>
        <v>708.1</v>
      </c>
      <c r="H170" s="116">
        <f>SUM(H171:H175)</f>
        <v>12192</v>
      </c>
      <c r="I170" s="116">
        <f>SUM(I171:I175)</f>
        <v>-540.5000000000001</v>
      </c>
      <c r="J170" s="116">
        <f>SUM(J171:J175)</f>
        <v>10943.4</v>
      </c>
      <c r="K170" s="116">
        <f>SUM(K171:K175)</f>
        <v>11320.9</v>
      </c>
    </row>
    <row r="171" spans="1:11" ht="39.75" customHeight="1" outlineLevel="5">
      <c r="A171" s="75" t="s">
        <v>240</v>
      </c>
      <c r="B171" s="76" t="s">
        <v>39</v>
      </c>
      <c r="C171" s="76" t="s">
        <v>64</v>
      </c>
      <c r="D171" s="76" t="s">
        <v>20</v>
      </c>
      <c r="E171" s="77">
        <v>1</v>
      </c>
      <c r="F171" s="78">
        <v>600</v>
      </c>
      <c r="G171" s="47">
        <v>-84.3</v>
      </c>
      <c r="H171" s="114">
        <f>6706.3+2570-84.3</f>
        <v>9192</v>
      </c>
      <c r="I171" s="114">
        <v>-1332.9</v>
      </c>
      <c r="J171" s="114">
        <f>9276.3-1332.9</f>
        <v>7943.4</v>
      </c>
      <c r="K171" s="114">
        <v>8320.9</v>
      </c>
    </row>
    <row r="172" spans="1:11" ht="36" hidden="1" outlineLevel="5">
      <c r="A172" s="75" t="s">
        <v>329</v>
      </c>
      <c r="B172" s="76" t="s">
        <v>39</v>
      </c>
      <c r="C172" s="76" t="s">
        <v>64</v>
      </c>
      <c r="D172" s="76" t="s">
        <v>20</v>
      </c>
      <c r="E172" s="77">
        <v>1</v>
      </c>
      <c r="F172" s="78">
        <v>600</v>
      </c>
      <c r="G172" s="47"/>
      <c r="H172" s="114">
        <v>0</v>
      </c>
      <c r="I172" s="114"/>
      <c r="J172" s="114">
        <v>0</v>
      </c>
      <c r="K172" s="114">
        <v>0</v>
      </c>
    </row>
    <row r="173" spans="1:11" ht="24.75" customHeight="1" outlineLevel="5">
      <c r="A173" s="75" t="s">
        <v>161</v>
      </c>
      <c r="B173" s="76" t="s">
        <v>39</v>
      </c>
      <c r="C173" s="76" t="s">
        <v>64</v>
      </c>
      <c r="D173" s="76" t="s">
        <v>20</v>
      </c>
      <c r="E173" s="77">
        <v>1</v>
      </c>
      <c r="F173" s="78">
        <v>600</v>
      </c>
      <c r="G173" s="47">
        <f>792.4</f>
        <v>792.4</v>
      </c>
      <c r="H173" s="114">
        <f>2207.6+792.4</f>
        <v>3000</v>
      </c>
      <c r="I173" s="114">
        <f>792.4</f>
        <v>792.4</v>
      </c>
      <c r="J173" s="114">
        <f>2207.6+792.4</f>
        <v>3000</v>
      </c>
      <c r="K173" s="114">
        <f>2207.6+792.4</f>
        <v>3000</v>
      </c>
    </row>
    <row r="174" spans="1:11" ht="0.75" customHeight="1" hidden="1" outlineLevel="5">
      <c r="A174" s="75" t="s">
        <v>305</v>
      </c>
      <c r="B174" s="76" t="s">
        <v>39</v>
      </c>
      <c r="C174" s="76" t="s">
        <v>64</v>
      </c>
      <c r="D174" s="76" t="s">
        <v>20</v>
      </c>
      <c r="E174" s="77">
        <v>0</v>
      </c>
      <c r="F174" s="78">
        <v>600</v>
      </c>
      <c r="G174" s="47"/>
      <c r="H174" s="114">
        <v>0</v>
      </c>
      <c r="I174" s="114"/>
      <c r="J174" s="114">
        <v>0</v>
      </c>
      <c r="K174" s="114">
        <v>0</v>
      </c>
    </row>
    <row r="175" spans="1:11" ht="44.25" customHeight="1" hidden="1" outlineLevel="5">
      <c r="A175" s="75" t="s">
        <v>317</v>
      </c>
      <c r="B175" s="76" t="s">
        <v>39</v>
      </c>
      <c r="C175" s="76" t="s">
        <v>64</v>
      </c>
      <c r="D175" s="76" t="s">
        <v>20</v>
      </c>
      <c r="E175" s="77">
        <v>0</v>
      </c>
      <c r="F175" s="78">
        <v>600</v>
      </c>
      <c r="G175" s="47"/>
      <c r="H175" s="114">
        <v>0</v>
      </c>
      <c r="I175" s="114"/>
      <c r="J175" s="114">
        <v>0</v>
      </c>
      <c r="K175" s="114">
        <v>0</v>
      </c>
    </row>
    <row r="176" spans="1:11" ht="20.25" customHeight="1" outlineLevel="5">
      <c r="A176" s="75" t="s">
        <v>71</v>
      </c>
      <c r="B176" s="76" t="s">
        <v>39</v>
      </c>
      <c r="C176" s="76" t="s">
        <v>66</v>
      </c>
      <c r="D176" s="76"/>
      <c r="E176" s="77"/>
      <c r="F176" s="78"/>
      <c r="G176" s="110">
        <f>SUM(G177)</f>
        <v>22420.70306</v>
      </c>
      <c r="H176" s="116">
        <f>SUM(H177)</f>
        <v>183380.90306000004</v>
      </c>
      <c r="I176" s="116">
        <f>SUM(I177)</f>
        <v>12194.881999999998</v>
      </c>
      <c r="J176" s="116">
        <f>SUM(J177)</f>
        <v>169940.682</v>
      </c>
      <c r="K176" s="116">
        <f>SUM(K177)</f>
        <v>152873.08200000002</v>
      </c>
    </row>
    <row r="177" spans="1:11" ht="23.25" customHeight="1" outlineLevel="5">
      <c r="A177" s="75" t="s">
        <v>67</v>
      </c>
      <c r="B177" s="76" t="s">
        <v>39</v>
      </c>
      <c r="C177" s="76" t="s">
        <v>66</v>
      </c>
      <c r="D177" s="76"/>
      <c r="E177" s="77"/>
      <c r="F177" s="78"/>
      <c r="G177" s="47">
        <f>SUM(G178+G192+G189+G186)</f>
        <v>22420.70306</v>
      </c>
      <c r="H177" s="114">
        <f>SUM(H178+H192+H189+H186)</f>
        <v>183380.90306000004</v>
      </c>
      <c r="I177" s="114">
        <f>SUM(I178+I192+I189+I186)</f>
        <v>12194.881999999998</v>
      </c>
      <c r="J177" s="114">
        <f>SUM(J178+J192+J189+J186)</f>
        <v>169940.682</v>
      </c>
      <c r="K177" s="114">
        <f>SUM(K178+K192+K189+K186)</f>
        <v>152873.08200000002</v>
      </c>
    </row>
    <row r="178" spans="1:11" ht="36" customHeight="1" outlineLevel="5">
      <c r="A178" s="75" t="s">
        <v>274</v>
      </c>
      <c r="B178" s="76" t="s">
        <v>39</v>
      </c>
      <c r="C178" s="76" t="s">
        <v>66</v>
      </c>
      <c r="D178" s="76" t="s">
        <v>6</v>
      </c>
      <c r="E178" s="77">
        <v>0</v>
      </c>
      <c r="F178" s="78"/>
      <c r="G178" s="47">
        <f>SUM(G179+G182)</f>
        <v>368.42105999999995</v>
      </c>
      <c r="H178" s="114">
        <f>SUM(H179+H182)</f>
        <v>7938.421060000001</v>
      </c>
      <c r="I178" s="114">
        <f>SUM(I179+I182)</f>
        <v>5400</v>
      </c>
      <c r="J178" s="114">
        <f>SUM(J179+J182)</f>
        <v>11400</v>
      </c>
      <c r="K178" s="114">
        <f>SUM(K179+K182)</f>
        <v>6000</v>
      </c>
    </row>
    <row r="179" spans="1:11" ht="18" customHeight="1" outlineLevel="5">
      <c r="A179" s="75" t="s">
        <v>209</v>
      </c>
      <c r="B179" s="76" t="s">
        <v>39</v>
      </c>
      <c r="C179" s="76" t="s">
        <v>66</v>
      </c>
      <c r="D179" s="76" t="s">
        <v>6</v>
      </c>
      <c r="E179" s="77">
        <v>3</v>
      </c>
      <c r="F179" s="78"/>
      <c r="G179" s="47">
        <f>SUM(G180:G181)</f>
        <v>315.78947999999997</v>
      </c>
      <c r="H179" s="114">
        <f>SUM(H180:H181)</f>
        <v>6315.78948</v>
      </c>
      <c r="I179" s="114">
        <f>SUM(I180:I181)</f>
        <v>5400</v>
      </c>
      <c r="J179" s="114">
        <f>SUM(J180:J181)</f>
        <v>11400</v>
      </c>
      <c r="K179" s="114">
        <f>SUM(K180:K181)</f>
        <v>6000</v>
      </c>
    </row>
    <row r="180" spans="1:11" ht="24" hidden="1" outlineLevel="5">
      <c r="A180" s="75" t="s">
        <v>104</v>
      </c>
      <c r="B180" s="76" t="s">
        <v>39</v>
      </c>
      <c r="C180" s="76" t="s">
        <v>66</v>
      </c>
      <c r="D180" s="76" t="s">
        <v>6</v>
      </c>
      <c r="E180" s="77">
        <v>3</v>
      </c>
      <c r="F180" s="78">
        <v>200</v>
      </c>
      <c r="G180" s="47"/>
      <c r="H180" s="114">
        <v>0</v>
      </c>
      <c r="I180" s="114"/>
      <c r="J180" s="114">
        <v>0</v>
      </c>
      <c r="K180" s="114">
        <v>0</v>
      </c>
    </row>
    <row r="181" spans="1:11" ht="24" outlineLevel="5">
      <c r="A181" s="75" t="s">
        <v>161</v>
      </c>
      <c r="B181" s="76" t="s">
        <v>39</v>
      </c>
      <c r="C181" s="76" t="s">
        <v>66</v>
      </c>
      <c r="D181" s="76" t="s">
        <v>6</v>
      </c>
      <c r="E181" s="77">
        <v>3</v>
      </c>
      <c r="F181" s="78">
        <v>600</v>
      </c>
      <c r="G181" s="47">
        <f>263.1579+52.63158</f>
        <v>315.78947999999997</v>
      </c>
      <c r="H181" s="114">
        <f>6000+263.1579+52.63158</f>
        <v>6315.78948</v>
      </c>
      <c r="I181" s="114">
        <v>5400</v>
      </c>
      <c r="J181" s="114">
        <f>6000+5400</f>
        <v>11400</v>
      </c>
      <c r="K181" s="114">
        <f>6000</f>
        <v>6000</v>
      </c>
    </row>
    <row r="182" spans="1:11" ht="27" customHeight="1" outlineLevel="5">
      <c r="A182" s="75" t="s">
        <v>192</v>
      </c>
      <c r="B182" s="76" t="s">
        <v>39</v>
      </c>
      <c r="C182" s="76" t="s">
        <v>66</v>
      </c>
      <c r="D182" s="76" t="s">
        <v>6</v>
      </c>
      <c r="E182" s="77">
        <v>4</v>
      </c>
      <c r="F182" s="78"/>
      <c r="G182" s="47">
        <f>SUM(G183:G185)</f>
        <v>52.63158</v>
      </c>
      <c r="H182" s="114">
        <f>SUM(H183:H185)</f>
        <v>1622.63158</v>
      </c>
      <c r="I182" s="114">
        <f>SUM(I183:I185)</f>
        <v>0</v>
      </c>
      <c r="J182" s="114">
        <f>SUM(J183:J185)</f>
        <v>0</v>
      </c>
      <c r="K182" s="114">
        <f>SUM(K183:K185)</f>
        <v>0</v>
      </c>
    </row>
    <row r="183" spans="1:11" ht="24" customHeight="1" outlineLevel="5">
      <c r="A183" s="75" t="s">
        <v>104</v>
      </c>
      <c r="B183" s="76" t="s">
        <v>39</v>
      </c>
      <c r="C183" s="76" t="s">
        <v>66</v>
      </c>
      <c r="D183" s="76" t="s">
        <v>6</v>
      </c>
      <c r="E183" s="77">
        <v>4</v>
      </c>
      <c r="F183" s="78">
        <v>200</v>
      </c>
      <c r="G183" s="47"/>
      <c r="H183" s="114">
        <v>38</v>
      </c>
      <c r="I183" s="114"/>
      <c r="J183" s="114">
        <f>38-38</f>
        <v>0</v>
      </c>
      <c r="K183" s="114">
        <f>38-38</f>
        <v>0</v>
      </c>
    </row>
    <row r="184" spans="1:11" ht="24" customHeight="1" outlineLevel="5">
      <c r="A184" s="75" t="s">
        <v>161</v>
      </c>
      <c r="B184" s="76" t="s">
        <v>39</v>
      </c>
      <c r="C184" s="76" t="s">
        <v>66</v>
      </c>
      <c r="D184" s="76" t="s">
        <v>6</v>
      </c>
      <c r="E184" s="77">
        <v>4</v>
      </c>
      <c r="F184" s="78">
        <v>600</v>
      </c>
      <c r="G184" s="47"/>
      <c r="H184" s="114">
        <v>532</v>
      </c>
      <c r="I184" s="114"/>
      <c r="J184" s="114">
        <f>532-532</f>
        <v>0</v>
      </c>
      <c r="K184" s="114">
        <f>532-532</f>
        <v>0</v>
      </c>
    </row>
    <row r="185" spans="1:11" ht="45.75" customHeight="1" outlineLevel="5">
      <c r="A185" s="75" t="s">
        <v>304</v>
      </c>
      <c r="B185" s="76" t="s">
        <v>39</v>
      </c>
      <c r="C185" s="76" t="s">
        <v>66</v>
      </c>
      <c r="D185" s="76" t="s">
        <v>6</v>
      </c>
      <c r="E185" s="77">
        <v>4</v>
      </c>
      <c r="F185" s="78">
        <v>600</v>
      </c>
      <c r="G185" s="47">
        <f>52.63158</f>
        <v>52.63158</v>
      </c>
      <c r="H185" s="114">
        <f>1000+52.63158</f>
        <v>1052.63158</v>
      </c>
      <c r="I185" s="114"/>
      <c r="J185" s="114">
        <v>0</v>
      </c>
      <c r="K185" s="114">
        <v>0</v>
      </c>
    </row>
    <row r="186" spans="1:11" ht="28.5" customHeight="1" hidden="1" outlineLevel="5">
      <c r="A186" s="75" t="s">
        <v>258</v>
      </c>
      <c r="B186" s="76" t="s">
        <v>39</v>
      </c>
      <c r="C186" s="76" t="s">
        <v>66</v>
      </c>
      <c r="D186" s="76" t="s">
        <v>18</v>
      </c>
      <c r="E186" s="77">
        <v>0</v>
      </c>
      <c r="F186" s="78"/>
      <c r="G186" s="47">
        <f>SUM(G187:G188)</f>
        <v>0</v>
      </c>
      <c r="H186" s="114">
        <f>SUM(H187:H188)</f>
        <v>0</v>
      </c>
      <c r="I186" s="114">
        <f>SUM(I187:I188)</f>
        <v>0</v>
      </c>
      <c r="J186" s="114">
        <f>SUM(J187:J188)</f>
        <v>0</v>
      </c>
      <c r="K186" s="114">
        <f>SUM(K187:K188)</f>
        <v>0</v>
      </c>
    </row>
    <row r="187" spans="1:11" ht="61.5" customHeight="1" hidden="1" outlineLevel="5">
      <c r="A187" s="75" t="s">
        <v>310</v>
      </c>
      <c r="B187" s="76" t="s">
        <v>39</v>
      </c>
      <c r="C187" s="76" t="s">
        <v>66</v>
      </c>
      <c r="D187" s="76" t="s">
        <v>18</v>
      </c>
      <c r="E187" s="77">
        <v>0</v>
      </c>
      <c r="F187" s="78">
        <v>600</v>
      </c>
      <c r="G187" s="47"/>
      <c r="H187" s="114">
        <v>0</v>
      </c>
      <c r="I187" s="114"/>
      <c r="J187" s="114">
        <v>0</v>
      </c>
      <c r="K187" s="114">
        <v>0</v>
      </c>
    </row>
    <row r="188" spans="1:11" ht="61.5" customHeight="1" hidden="1" outlineLevel="5">
      <c r="A188" s="75" t="s">
        <v>311</v>
      </c>
      <c r="B188" s="76" t="s">
        <v>39</v>
      </c>
      <c r="C188" s="76" t="s">
        <v>66</v>
      </c>
      <c r="D188" s="76" t="s">
        <v>18</v>
      </c>
      <c r="E188" s="77">
        <v>0</v>
      </c>
      <c r="F188" s="78">
        <v>600</v>
      </c>
      <c r="G188" s="47"/>
      <c r="H188" s="114">
        <v>0</v>
      </c>
      <c r="I188" s="114"/>
      <c r="J188" s="114">
        <v>0</v>
      </c>
      <c r="K188" s="114">
        <v>0</v>
      </c>
    </row>
    <row r="189" spans="1:11" ht="47.25" customHeight="1" outlineLevel="3">
      <c r="A189" s="75" t="s">
        <v>250</v>
      </c>
      <c r="B189" s="76" t="s">
        <v>39</v>
      </c>
      <c r="C189" s="76" t="s">
        <v>66</v>
      </c>
      <c r="D189" s="76" t="s">
        <v>210</v>
      </c>
      <c r="E189" s="77">
        <v>0</v>
      </c>
      <c r="F189" s="78"/>
      <c r="G189" s="47">
        <f>SUM(G190:G191)</f>
        <v>96.282</v>
      </c>
      <c r="H189" s="114">
        <f>SUM(H190:H191)</f>
        <v>898.282</v>
      </c>
      <c r="I189" s="114">
        <f>SUM(I190:I191)</f>
        <v>96.282</v>
      </c>
      <c r="J189" s="114">
        <f>SUM(J190:J191)</f>
        <v>898.282</v>
      </c>
      <c r="K189" s="114">
        <f>SUM(K190:K191)</f>
        <v>898.282</v>
      </c>
    </row>
    <row r="190" spans="1:11" ht="32.25" customHeight="1" outlineLevel="3">
      <c r="A190" s="75" t="s">
        <v>104</v>
      </c>
      <c r="B190" s="76" t="s">
        <v>39</v>
      </c>
      <c r="C190" s="76" t="s">
        <v>66</v>
      </c>
      <c r="D190" s="76" t="s">
        <v>210</v>
      </c>
      <c r="E190" s="77">
        <v>0</v>
      </c>
      <c r="F190" s="78">
        <v>200</v>
      </c>
      <c r="G190" s="47">
        <f>19.08</f>
        <v>19.08</v>
      </c>
      <c r="H190" s="114">
        <f>36+19.08</f>
        <v>55.08</v>
      </c>
      <c r="I190" s="114">
        <v>19.08</v>
      </c>
      <c r="J190" s="114">
        <f>36+19.08</f>
        <v>55.08</v>
      </c>
      <c r="K190" s="114">
        <v>55.08</v>
      </c>
    </row>
    <row r="191" spans="1:11" ht="24" outlineLevel="3">
      <c r="A191" s="75" t="s">
        <v>161</v>
      </c>
      <c r="B191" s="76" t="s">
        <v>39</v>
      </c>
      <c r="C191" s="76" t="s">
        <v>66</v>
      </c>
      <c r="D191" s="76" t="s">
        <v>210</v>
      </c>
      <c r="E191" s="77">
        <v>0</v>
      </c>
      <c r="F191" s="78">
        <v>600</v>
      </c>
      <c r="G191" s="47">
        <v>77.202</v>
      </c>
      <c r="H191" s="114">
        <f>766+77.202</f>
        <v>843.202</v>
      </c>
      <c r="I191" s="114">
        <v>77.202</v>
      </c>
      <c r="J191" s="114">
        <f>766+77.202</f>
        <v>843.202</v>
      </c>
      <c r="K191" s="114">
        <v>843.202</v>
      </c>
    </row>
    <row r="192" spans="1:11" ht="36" outlineLevel="3">
      <c r="A192" s="75" t="s">
        <v>340</v>
      </c>
      <c r="B192" s="76" t="s">
        <v>39</v>
      </c>
      <c r="C192" s="76" t="s">
        <v>66</v>
      </c>
      <c r="D192" s="76" t="s">
        <v>20</v>
      </c>
      <c r="E192" s="77">
        <v>0</v>
      </c>
      <c r="F192" s="112"/>
      <c r="G192" s="110">
        <f>SUM(G193)</f>
        <v>21956</v>
      </c>
      <c r="H192" s="116">
        <f>SUM(H193)</f>
        <v>174544.20000000004</v>
      </c>
      <c r="I192" s="116">
        <f>SUM(I193)</f>
        <v>6698.599999999998</v>
      </c>
      <c r="J192" s="116">
        <f>SUM(J193)</f>
        <v>157642.4</v>
      </c>
      <c r="K192" s="116">
        <f>SUM(K193)</f>
        <v>145974.80000000002</v>
      </c>
    </row>
    <row r="193" spans="1:11" ht="15.75" outlineLevel="3">
      <c r="A193" s="75" t="s">
        <v>341</v>
      </c>
      <c r="B193" s="76" t="s">
        <v>39</v>
      </c>
      <c r="C193" s="76" t="s">
        <v>66</v>
      </c>
      <c r="D193" s="76" t="s">
        <v>20</v>
      </c>
      <c r="E193" s="77">
        <v>2</v>
      </c>
      <c r="F193" s="112"/>
      <c r="G193" s="110">
        <f>SUM(G194+G201)</f>
        <v>21956</v>
      </c>
      <c r="H193" s="116">
        <f>SUM(H194+H201)</f>
        <v>174544.20000000004</v>
      </c>
      <c r="I193" s="116">
        <f>SUM(I194+I201)</f>
        <v>6698.599999999998</v>
      </c>
      <c r="J193" s="116">
        <f>SUM(J194+J201)</f>
        <v>157642.4</v>
      </c>
      <c r="K193" s="116">
        <f>SUM(K194+K201)</f>
        <v>145974.80000000002</v>
      </c>
    </row>
    <row r="194" spans="1:11" ht="21" customHeight="1" outlineLevel="3">
      <c r="A194" s="75" t="s">
        <v>70</v>
      </c>
      <c r="B194" s="76" t="s">
        <v>39</v>
      </c>
      <c r="C194" s="76" t="s">
        <v>66</v>
      </c>
      <c r="D194" s="76" t="s">
        <v>20</v>
      </c>
      <c r="E194" s="77">
        <v>2</v>
      </c>
      <c r="F194" s="78"/>
      <c r="G194" s="47">
        <f>SUM(G195:G200)</f>
        <v>4105</v>
      </c>
      <c r="H194" s="114">
        <f>SUM(H195:H200)</f>
        <v>22441.1</v>
      </c>
      <c r="I194" s="114">
        <f>SUM(I195:I200)</f>
        <v>4105</v>
      </c>
      <c r="J194" s="114">
        <f>SUM(J195:J200)</f>
        <v>22441.1</v>
      </c>
      <c r="K194" s="114">
        <f>SUM(K195:K200)</f>
        <v>20524.7</v>
      </c>
    </row>
    <row r="195" spans="1:11" ht="47.25" customHeight="1" outlineLevel="3">
      <c r="A195" s="75" t="s">
        <v>103</v>
      </c>
      <c r="B195" s="76" t="s">
        <v>39</v>
      </c>
      <c r="C195" s="76" t="s">
        <v>66</v>
      </c>
      <c r="D195" s="76" t="s">
        <v>20</v>
      </c>
      <c r="E195" s="77">
        <v>2</v>
      </c>
      <c r="F195" s="78">
        <v>100</v>
      </c>
      <c r="G195" s="47">
        <f>300</f>
        <v>300</v>
      </c>
      <c r="H195" s="114">
        <f>27.1+300</f>
        <v>327.1</v>
      </c>
      <c r="I195" s="114">
        <f>300</f>
        <v>300</v>
      </c>
      <c r="J195" s="114">
        <f>27.1+300</f>
        <v>327.1</v>
      </c>
      <c r="K195" s="114">
        <f>27.1+300</f>
        <v>327.1</v>
      </c>
    </row>
    <row r="196" spans="1:11" ht="24" outlineLevel="3">
      <c r="A196" s="75" t="s">
        <v>104</v>
      </c>
      <c r="B196" s="76" t="s">
        <v>39</v>
      </c>
      <c r="C196" s="76" t="s">
        <v>66</v>
      </c>
      <c r="D196" s="76" t="s">
        <v>20</v>
      </c>
      <c r="E196" s="77">
        <v>2</v>
      </c>
      <c r="F196" s="78">
        <v>200</v>
      </c>
      <c r="G196" s="47"/>
      <c r="H196" s="114">
        <v>1147.4</v>
      </c>
      <c r="I196" s="114"/>
      <c r="J196" s="114">
        <v>1147.4</v>
      </c>
      <c r="K196" s="114">
        <v>1147.4</v>
      </c>
    </row>
    <row r="197" spans="1:11" ht="48" outlineLevel="3">
      <c r="A197" s="75" t="s">
        <v>326</v>
      </c>
      <c r="B197" s="76" t="s">
        <v>39</v>
      </c>
      <c r="C197" s="76" t="s">
        <v>66</v>
      </c>
      <c r="D197" s="76" t="s">
        <v>20</v>
      </c>
      <c r="E197" s="77">
        <v>2</v>
      </c>
      <c r="F197" s="78">
        <v>200</v>
      </c>
      <c r="G197" s="47">
        <v>24.1</v>
      </c>
      <c r="H197" s="114">
        <v>24.1</v>
      </c>
      <c r="I197" s="114">
        <v>25.6</v>
      </c>
      <c r="J197" s="114">
        <v>25.6</v>
      </c>
      <c r="K197" s="114">
        <v>0</v>
      </c>
    </row>
    <row r="198" spans="1:11" ht="15.75" outlineLevel="3">
      <c r="A198" s="75" t="s">
        <v>149</v>
      </c>
      <c r="B198" s="76" t="s">
        <v>39</v>
      </c>
      <c r="C198" s="76" t="s">
        <v>66</v>
      </c>
      <c r="D198" s="76" t="s">
        <v>20</v>
      </c>
      <c r="E198" s="77">
        <v>2</v>
      </c>
      <c r="F198" s="78">
        <v>800</v>
      </c>
      <c r="G198" s="47"/>
      <c r="H198" s="114">
        <v>50.2</v>
      </c>
      <c r="I198" s="114"/>
      <c r="J198" s="114">
        <v>50.2</v>
      </c>
      <c r="K198" s="114">
        <v>50.2</v>
      </c>
    </row>
    <row r="199" spans="1:11" ht="29.25" customHeight="1" outlineLevel="3">
      <c r="A199" s="75" t="s">
        <v>161</v>
      </c>
      <c r="B199" s="76" t="s">
        <v>39</v>
      </c>
      <c r="C199" s="76" t="s">
        <v>66</v>
      </c>
      <c r="D199" s="76" t="s">
        <v>20</v>
      </c>
      <c r="E199" s="77">
        <v>2</v>
      </c>
      <c r="F199" s="78">
        <v>600</v>
      </c>
      <c r="G199" s="47">
        <f>1888.6</f>
        <v>1888.6</v>
      </c>
      <c r="H199" s="114">
        <f>17111.4+1888.6</f>
        <v>19000</v>
      </c>
      <c r="I199" s="114">
        <f>1888.6</f>
        <v>1888.6</v>
      </c>
      <c r="J199" s="114">
        <f>17111.4+1888.6</f>
        <v>19000</v>
      </c>
      <c r="K199" s="114">
        <v>19000</v>
      </c>
    </row>
    <row r="200" spans="1:11" ht="52.5" customHeight="1" outlineLevel="3">
      <c r="A200" s="75" t="s">
        <v>327</v>
      </c>
      <c r="B200" s="76" t="s">
        <v>39</v>
      </c>
      <c r="C200" s="76" t="s">
        <v>66</v>
      </c>
      <c r="D200" s="76" t="s">
        <v>20</v>
      </c>
      <c r="E200" s="77">
        <v>2</v>
      </c>
      <c r="F200" s="78">
        <v>600</v>
      </c>
      <c r="G200" s="47">
        <v>1892.3</v>
      </c>
      <c r="H200" s="114">
        <v>1892.3</v>
      </c>
      <c r="I200" s="114">
        <v>1890.8</v>
      </c>
      <c r="J200" s="114">
        <v>1890.8</v>
      </c>
      <c r="K200" s="114">
        <v>0</v>
      </c>
    </row>
    <row r="201" spans="1:11" ht="18.75" customHeight="1" outlineLevel="3">
      <c r="A201" s="75" t="s">
        <v>166</v>
      </c>
      <c r="B201" s="76" t="s">
        <v>39</v>
      </c>
      <c r="C201" s="76" t="s">
        <v>66</v>
      </c>
      <c r="D201" s="76" t="s">
        <v>20</v>
      </c>
      <c r="E201" s="77">
        <v>2</v>
      </c>
      <c r="F201" s="78"/>
      <c r="G201" s="47">
        <f>SUM(G202:G214)</f>
        <v>17851</v>
      </c>
      <c r="H201" s="114">
        <f>SUM(H202:H214)</f>
        <v>152103.10000000003</v>
      </c>
      <c r="I201" s="114">
        <f>SUM(I202:I214)</f>
        <v>2593.5999999999976</v>
      </c>
      <c r="J201" s="114">
        <f>SUM(J202:J214)</f>
        <v>135201.3</v>
      </c>
      <c r="K201" s="114">
        <f>SUM(K202:K214)</f>
        <v>125450.10000000002</v>
      </c>
    </row>
    <row r="202" spans="1:11" ht="47.25" customHeight="1" outlineLevel="3">
      <c r="A202" s="75" t="s">
        <v>103</v>
      </c>
      <c r="B202" s="76" t="s">
        <v>39</v>
      </c>
      <c r="C202" s="76" t="s">
        <v>66</v>
      </c>
      <c r="D202" s="76" t="s">
        <v>20</v>
      </c>
      <c r="E202" s="77">
        <v>2</v>
      </c>
      <c r="F202" s="78">
        <v>100</v>
      </c>
      <c r="G202" s="47">
        <f>-1056.6</f>
        <v>-1056.6</v>
      </c>
      <c r="H202" s="114">
        <f>3873+2277.2+866.8-74.4-1056.6</f>
        <v>5886</v>
      </c>
      <c r="I202" s="114">
        <v>-1056.6</v>
      </c>
      <c r="J202" s="114">
        <f>3873+2277.2+866.8-74.4-1056.6</f>
        <v>5886</v>
      </c>
      <c r="K202" s="114">
        <f>3873+2277.2+866.8-74.4-1056.6</f>
        <v>5886</v>
      </c>
    </row>
    <row r="203" spans="1:11" ht="36" hidden="1" outlineLevel="3">
      <c r="A203" s="75" t="s">
        <v>328</v>
      </c>
      <c r="B203" s="76" t="s">
        <v>39</v>
      </c>
      <c r="C203" s="76" t="s">
        <v>66</v>
      </c>
      <c r="D203" s="76" t="s">
        <v>20</v>
      </c>
      <c r="E203" s="77">
        <v>2</v>
      </c>
      <c r="F203" s="78">
        <v>100</v>
      </c>
      <c r="G203" s="47"/>
      <c r="H203" s="114">
        <v>0</v>
      </c>
      <c r="I203" s="114"/>
      <c r="J203" s="114">
        <v>0</v>
      </c>
      <c r="K203" s="114">
        <v>0</v>
      </c>
    </row>
    <row r="204" spans="1:11" ht="36" outlineLevel="3">
      <c r="A204" s="75" t="s">
        <v>320</v>
      </c>
      <c r="B204" s="76" t="s">
        <v>39</v>
      </c>
      <c r="C204" s="76" t="s">
        <v>66</v>
      </c>
      <c r="D204" s="76" t="s">
        <v>20</v>
      </c>
      <c r="E204" s="77">
        <v>2</v>
      </c>
      <c r="F204" s="78">
        <v>100</v>
      </c>
      <c r="G204" s="47">
        <v>781.2</v>
      </c>
      <c r="H204" s="114">
        <v>781.2</v>
      </c>
      <c r="I204" s="114">
        <v>781.2</v>
      </c>
      <c r="J204" s="114">
        <v>781.2</v>
      </c>
      <c r="K204" s="114">
        <v>0</v>
      </c>
    </row>
    <row r="205" spans="1:11" ht="27" customHeight="1" outlineLevel="3">
      <c r="A205" s="75" t="s">
        <v>104</v>
      </c>
      <c r="B205" s="76" t="s">
        <v>39</v>
      </c>
      <c r="C205" s="76" t="s">
        <v>66</v>
      </c>
      <c r="D205" s="76" t="s">
        <v>20</v>
      </c>
      <c r="E205" s="77">
        <v>2</v>
      </c>
      <c r="F205" s="78">
        <v>200</v>
      </c>
      <c r="G205" s="47">
        <v>-79.6</v>
      </c>
      <c r="H205" s="114">
        <f>522+0.6-79.6</f>
        <v>443</v>
      </c>
      <c r="I205" s="114">
        <v>-79.6</v>
      </c>
      <c r="J205" s="114">
        <f>522+0.6-79.6</f>
        <v>443</v>
      </c>
      <c r="K205" s="114">
        <f>522+0.6-79.6</f>
        <v>443</v>
      </c>
    </row>
    <row r="206" spans="1:11" ht="16.5" customHeight="1" outlineLevel="3">
      <c r="A206" s="75" t="s">
        <v>69</v>
      </c>
      <c r="B206" s="76" t="s">
        <v>39</v>
      </c>
      <c r="C206" s="76" t="s">
        <v>66</v>
      </c>
      <c r="D206" s="76" t="s">
        <v>20</v>
      </c>
      <c r="E206" s="77">
        <v>2</v>
      </c>
      <c r="F206" s="78">
        <v>200</v>
      </c>
      <c r="G206" s="47">
        <v>-43.8</v>
      </c>
      <c r="H206" s="114">
        <f>105.45+12.35-43.8</f>
        <v>74</v>
      </c>
      <c r="I206" s="114"/>
      <c r="J206" s="114">
        <f>75.9</f>
        <v>75.9</v>
      </c>
      <c r="K206" s="114">
        <f>75.9</f>
        <v>75.9</v>
      </c>
    </row>
    <row r="207" spans="1:11" ht="34.5" customHeight="1" outlineLevel="3">
      <c r="A207" s="75" t="s">
        <v>324</v>
      </c>
      <c r="B207" s="76" t="s">
        <v>39</v>
      </c>
      <c r="C207" s="76" t="s">
        <v>66</v>
      </c>
      <c r="D207" s="76" t="s">
        <v>20</v>
      </c>
      <c r="E207" s="77">
        <v>2</v>
      </c>
      <c r="F207" s="78">
        <v>200</v>
      </c>
      <c r="G207" s="47">
        <f>74</f>
        <v>74</v>
      </c>
      <c r="H207" s="114">
        <f>74</f>
        <v>74</v>
      </c>
      <c r="I207" s="114">
        <f>78.4</f>
        <v>78.4</v>
      </c>
      <c r="J207" s="114">
        <f>78.4</f>
        <v>78.4</v>
      </c>
      <c r="K207" s="114">
        <v>0</v>
      </c>
    </row>
    <row r="208" spans="1:11" ht="48" outlineLevel="3">
      <c r="A208" s="75" t="s">
        <v>325</v>
      </c>
      <c r="B208" s="76" t="s">
        <v>39</v>
      </c>
      <c r="C208" s="76" t="s">
        <v>66</v>
      </c>
      <c r="D208" s="76" t="s">
        <v>20</v>
      </c>
      <c r="E208" s="77">
        <v>2</v>
      </c>
      <c r="F208" s="78">
        <v>600</v>
      </c>
      <c r="G208" s="47">
        <f>5873.8-74</f>
        <v>5799.8</v>
      </c>
      <c r="H208" s="114">
        <f>5873.8-74</f>
        <v>5799.8</v>
      </c>
      <c r="I208" s="114">
        <f>6215.8-78.4</f>
        <v>6137.400000000001</v>
      </c>
      <c r="J208" s="114">
        <f>6215.8-78.4</f>
        <v>6137.400000000001</v>
      </c>
      <c r="K208" s="114">
        <v>870.2</v>
      </c>
    </row>
    <row r="209" spans="1:11" ht="21" customHeight="1" outlineLevel="3">
      <c r="A209" s="75" t="s">
        <v>68</v>
      </c>
      <c r="B209" s="76" t="s">
        <v>39</v>
      </c>
      <c r="C209" s="76" t="s">
        <v>66</v>
      </c>
      <c r="D209" s="76" t="s">
        <v>20</v>
      </c>
      <c r="E209" s="77">
        <v>2</v>
      </c>
      <c r="F209" s="78">
        <v>600</v>
      </c>
      <c r="G209" s="47">
        <f>413.6+79.6+1056.6</f>
        <v>1549.8</v>
      </c>
      <c r="H209" s="114">
        <f>116621.2+5473.3+74.4-0.6+413.6+79.6+1056.6</f>
        <v>123718.1</v>
      </c>
      <c r="I209" s="114">
        <f>-16848.4+79.6+1056.6</f>
        <v>-15712.200000000003</v>
      </c>
      <c r="J209" s="114">
        <f>116621.2+5473.3+74.4-0.6-16848.4+79.6+1056.6</f>
        <v>106456.1</v>
      </c>
      <c r="K209" s="114">
        <f>119696.1-K205-K202</f>
        <v>113367.1</v>
      </c>
    </row>
    <row r="210" spans="1:11" ht="1.5" customHeight="1" hidden="1" outlineLevel="3">
      <c r="A210" s="75" t="s">
        <v>329</v>
      </c>
      <c r="B210" s="76" t="s">
        <v>39</v>
      </c>
      <c r="C210" s="76" t="s">
        <v>66</v>
      </c>
      <c r="D210" s="76" t="s">
        <v>20</v>
      </c>
      <c r="E210" s="77">
        <v>2</v>
      </c>
      <c r="F210" s="78">
        <v>600</v>
      </c>
      <c r="G210" s="47"/>
      <c r="H210" s="114">
        <v>0</v>
      </c>
      <c r="I210" s="114"/>
      <c r="J210" s="114">
        <v>0</v>
      </c>
      <c r="K210" s="114">
        <v>0</v>
      </c>
    </row>
    <row r="211" spans="1:11" ht="36" outlineLevel="3">
      <c r="A211" s="75" t="s">
        <v>320</v>
      </c>
      <c r="B211" s="76" t="s">
        <v>39</v>
      </c>
      <c r="C211" s="76" t="s">
        <v>66</v>
      </c>
      <c r="D211" s="76" t="s">
        <v>20</v>
      </c>
      <c r="E211" s="77">
        <v>2</v>
      </c>
      <c r="F211" s="78">
        <v>600</v>
      </c>
      <c r="G211" s="47">
        <f>11327.4-781.2</f>
        <v>10546.199999999999</v>
      </c>
      <c r="H211" s="114">
        <f>11327.4-781.2</f>
        <v>10546.199999999999</v>
      </c>
      <c r="I211" s="114">
        <f>11327.4-781.2</f>
        <v>10546.199999999999</v>
      </c>
      <c r="J211" s="114">
        <f>11327.4-781.2</f>
        <v>10546.199999999999</v>
      </c>
      <c r="K211" s="114">
        <v>0</v>
      </c>
    </row>
    <row r="212" spans="1:11" ht="14.25" customHeight="1" outlineLevel="3">
      <c r="A212" s="75" t="s">
        <v>69</v>
      </c>
      <c r="B212" s="76" t="s">
        <v>39</v>
      </c>
      <c r="C212" s="76" t="s">
        <v>66</v>
      </c>
      <c r="D212" s="76" t="s">
        <v>20</v>
      </c>
      <c r="E212" s="77">
        <v>2</v>
      </c>
      <c r="F212" s="78">
        <v>600</v>
      </c>
      <c r="G212" s="47">
        <f>-243.9+43.8</f>
        <v>-200.10000000000002</v>
      </c>
      <c r="H212" s="114">
        <f>3505.35+1007.8-12.35-243.9+43.8</f>
        <v>4300.7</v>
      </c>
      <c r="I212" s="114">
        <v>1654</v>
      </c>
      <c r="J212" s="114">
        <f>2974.2-J206+1654</f>
        <v>4552.299999999999</v>
      </c>
      <c r="K212" s="114">
        <f>4628.2-K206</f>
        <v>4552.3</v>
      </c>
    </row>
    <row r="213" spans="1:11" ht="14.25" customHeight="1" outlineLevel="3">
      <c r="A213" s="75" t="s">
        <v>330</v>
      </c>
      <c r="B213" s="76" t="s">
        <v>39</v>
      </c>
      <c r="C213" s="76" t="s">
        <v>66</v>
      </c>
      <c r="D213" s="76" t="s">
        <v>20</v>
      </c>
      <c r="E213" s="77">
        <v>2</v>
      </c>
      <c r="F213" s="78">
        <v>600</v>
      </c>
      <c r="G213" s="47">
        <v>200</v>
      </c>
      <c r="H213" s="114">
        <v>200</v>
      </c>
      <c r="I213" s="114"/>
      <c r="J213" s="114">
        <v>0</v>
      </c>
      <c r="K213" s="114">
        <v>0</v>
      </c>
    </row>
    <row r="214" spans="1:11" ht="24" customHeight="1" outlineLevel="3">
      <c r="A214" s="75" t="s">
        <v>165</v>
      </c>
      <c r="B214" s="76" t="s">
        <v>39</v>
      </c>
      <c r="C214" s="76" t="s">
        <v>66</v>
      </c>
      <c r="D214" s="76" t="s">
        <v>20</v>
      </c>
      <c r="E214" s="77">
        <v>2</v>
      </c>
      <c r="F214" s="78">
        <v>600</v>
      </c>
      <c r="G214" s="47">
        <f>304.2-24.1</f>
        <v>280.09999999999997</v>
      </c>
      <c r="H214" s="114">
        <f>304.2-24.1</f>
        <v>280.09999999999997</v>
      </c>
      <c r="I214" s="114">
        <f>268.9-24.1</f>
        <v>244.79999999999998</v>
      </c>
      <c r="J214" s="114">
        <f>268.9-24.1</f>
        <v>244.79999999999998</v>
      </c>
      <c r="K214" s="114">
        <f>279.7-24.1</f>
        <v>255.6</v>
      </c>
    </row>
    <row r="215" spans="1:11" ht="13.5" customHeight="1" outlineLevel="1">
      <c r="A215" s="75" t="s">
        <v>214</v>
      </c>
      <c r="B215" s="76" t="s">
        <v>39</v>
      </c>
      <c r="C215" s="76" t="s">
        <v>215</v>
      </c>
      <c r="D215" s="76"/>
      <c r="E215" s="77"/>
      <c r="F215" s="78"/>
      <c r="G215" s="47">
        <f>SUM(G219+G216)</f>
        <v>1500</v>
      </c>
      <c r="H215" s="114">
        <f>SUM(H219+H216)</f>
        <v>9900</v>
      </c>
      <c r="I215" s="114">
        <f>SUM(I219+I216)</f>
        <v>1500</v>
      </c>
      <c r="J215" s="114">
        <f>SUM(J219+J216)</f>
        <v>9900</v>
      </c>
      <c r="K215" s="114">
        <f>SUM(K219+K216)</f>
        <v>9900</v>
      </c>
    </row>
    <row r="216" spans="1:11" ht="0.75" customHeight="1" hidden="1" outlineLevel="1">
      <c r="A216" s="75" t="s">
        <v>274</v>
      </c>
      <c r="B216" s="76" t="s">
        <v>39</v>
      </c>
      <c r="C216" s="76" t="s">
        <v>215</v>
      </c>
      <c r="D216" s="76" t="s">
        <v>6</v>
      </c>
      <c r="E216" s="77">
        <v>0</v>
      </c>
      <c r="F216" s="78"/>
      <c r="G216" s="47">
        <f>SUM(G217)</f>
        <v>0</v>
      </c>
      <c r="H216" s="114">
        <f>SUM(H217)</f>
        <v>0</v>
      </c>
      <c r="I216" s="114">
        <f>SUM(I217)</f>
        <v>0</v>
      </c>
      <c r="J216" s="114">
        <f>SUM(J217)</f>
        <v>0</v>
      </c>
      <c r="K216" s="114">
        <f>SUM(K217)</f>
        <v>0</v>
      </c>
    </row>
    <row r="217" spans="1:11" ht="24" hidden="1" outlineLevel="1">
      <c r="A217" s="75" t="s">
        <v>209</v>
      </c>
      <c r="B217" s="76" t="s">
        <v>39</v>
      </c>
      <c r="C217" s="76" t="s">
        <v>215</v>
      </c>
      <c r="D217" s="76" t="s">
        <v>6</v>
      </c>
      <c r="E217" s="77">
        <v>3</v>
      </c>
      <c r="F217" s="78"/>
      <c r="G217" s="47">
        <f>SUM(G218:G218)</f>
        <v>0</v>
      </c>
      <c r="H217" s="114">
        <f>SUM(H218:H218)</f>
        <v>0</v>
      </c>
      <c r="I217" s="114">
        <f>SUM(I218:I218)</f>
        <v>0</v>
      </c>
      <c r="J217" s="114">
        <f>SUM(J218:J218)</f>
        <v>0</v>
      </c>
      <c r="K217" s="114">
        <f>SUM(K218:K218)</f>
        <v>0</v>
      </c>
    </row>
    <row r="218" spans="1:11" ht="24" hidden="1" outlineLevel="1">
      <c r="A218" s="75" t="s">
        <v>161</v>
      </c>
      <c r="B218" s="76" t="s">
        <v>39</v>
      </c>
      <c r="C218" s="76" t="s">
        <v>215</v>
      </c>
      <c r="D218" s="76" t="s">
        <v>6</v>
      </c>
      <c r="E218" s="77">
        <v>3</v>
      </c>
      <c r="F218" s="78">
        <v>600</v>
      </c>
      <c r="G218" s="47"/>
      <c r="H218" s="114">
        <v>0</v>
      </c>
      <c r="I218" s="114"/>
      <c r="J218" s="114">
        <v>0</v>
      </c>
      <c r="K218" s="114">
        <v>0</v>
      </c>
    </row>
    <row r="219" spans="1:11" ht="27" customHeight="1" outlineLevel="1">
      <c r="A219" s="75" t="s">
        <v>340</v>
      </c>
      <c r="B219" s="76" t="s">
        <v>39</v>
      </c>
      <c r="C219" s="76" t="s">
        <v>215</v>
      </c>
      <c r="D219" s="76" t="s">
        <v>20</v>
      </c>
      <c r="E219" s="77">
        <v>0</v>
      </c>
      <c r="F219" s="78"/>
      <c r="G219" s="47">
        <f>SUM(G220)</f>
        <v>1500</v>
      </c>
      <c r="H219" s="114">
        <f>SUM(H220)</f>
        <v>9900</v>
      </c>
      <c r="I219" s="114">
        <f>SUM(I220)</f>
        <v>1500</v>
      </c>
      <c r="J219" s="114">
        <f>SUM(J220)</f>
        <v>9900</v>
      </c>
      <c r="K219" s="114">
        <f>SUM(K220)</f>
        <v>9900</v>
      </c>
    </row>
    <row r="220" spans="1:11" ht="20.25" customHeight="1" outlineLevel="1">
      <c r="A220" s="75" t="s">
        <v>342</v>
      </c>
      <c r="B220" s="76" t="s">
        <v>39</v>
      </c>
      <c r="C220" s="76" t="s">
        <v>215</v>
      </c>
      <c r="D220" s="76" t="s">
        <v>20</v>
      </c>
      <c r="E220" s="77">
        <v>3</v>
      </c>
      <c r="F220" s="78"/>
      <c r="G220" s="47">
        <f>SUM(G221:G222)</f>
        <v>1500</v>
      </c>
      <c r="H220" s="114">
        <f>SUM(H221:H222)</f>
        <v>9900</v>
      </c>
      <c r="I220" s="114">
        <f>SUM(I221:I222)</f>
        <v>1500</v>
      </c>
      <c r="J220" s="114">
        <f>SUM(J221:J222)</f>
        <v>9900</v>
      </c>
      <c r="K220" s="114">
        <f>SUM(K221:K222)</f>
        <v>9900</v>
      </c>
    </row>
    <row r="221" spans="1:11" ht="28.5" customHeight="1" outlineLevel="1">
      <c r="A221" s="75" t="s">
        <v>343</v>
      </c>
      <c r="B221" s="76" t="s">
        <v>39</v>
      </c>
      <c r="C221" s="76" t="s">
        <v>215</v>
      </c>
      <c r="D221" s="76" t="s">
        <v>20</v>
      </c>
      <c r="E221" s="77">
        <v>3</v>
      </c>
      <c r="F221" s="78">
        <v>600</v>
      </c>
      <c r="G221" s="47">
        <f>1500</f>
        <v>1500</v>
      </c>
      <c r="H221" s="114">
        <f>4300+1500</f>
        <v>5800</v>
      </c>
      <c r="I221" s="114">
        <v>1500</v>
      </c>
      <c r="J221" s="114">
        <f>4300+1500</f>
        <v>5800</v>
      </c>
      <c r="K221" s="114">
        <f>5800</f>
        <v>5800</v>
      </c>
    </row>
    <row r="222" spans="1:11" ht="24" customHeight="1" outlineLevel="1">
      <c r="A222" s="75" t="s">
        <v>344</v>
      </c>
      <c r="B222" s="76" t="s">
        <v>39</v>
      </c>
      <c r="C222" s="76" t="s">
        <v>215</v>
      </c>
      <c r="D222" s="76" t="s">
        <v>20</v>
      </c>
      <c r="E222" s="77">
        <v>3</v>
      </c>
      <c r="F222" s="78">
        <v>600</v>
      </c>
      <c r="G222" s="47"/>
      <c r="H222" s="114">
        <v>4100</v>
      </c>
      <c r="I222" s="114"/>
      <c r="J222" s="114">
        <v>4100</v>
      </c>
      <c r="K222" s="114">
        <v>4100</v>
      </c>
    </row>
    <row r="223" spans="1:11" ht="21" customHeight="1" outlineLevel="1">
      <c r="A223" s="74" t="s">
        <v>73</v>
      </c>
      <c r="B223" s="76" t="s">
        <v>39</v>
      </c>
      <c r="C223" s="76" t="s">
        <v>72</v>
      </c>
      <c r="D223" s="76" t="s">
        <v>0</v>
      </c>
      <c r="E223" s="77" t="s">
        <v>0</v>
      </c>
      <c r="F223" s="78"/>
      <c r="G223" s="47">
        <f>SUM(G224+G233+G235)</f>
        <v>1401.6</v>
      </c>
      <c r="H223" s="114">
        <f>SUM(H224+H233+H235)</f>
        <v>6284.9</v>
      </c>
      <c r="I223" s="114">
        <f>SUM(I224+I233+I235)</f>
        <v>1213.5</v>
      </c>
      <c r="J223" s="114">
        <f>SUM(J224+J233+J235)</f>
        <v>6096.8</v>
      </c>
      <c r="K223" s="114">
        <f>SUM(K224+K233+K235)</f>
        <v>6055.9</v>
      </c>
    </row>
    <row r="224" spans="1:11" ht="49.5" customHeight="1" outlineLevel="1">
      <c r="A224" s="74" t="s">
        <v>255</v>
      </c>
      <c r="B224" s="76" t="s">
        <v>39</v>
      </c>
      <c r="C224" s="76" t="s">
        <v>72</v>
      </c>
      <c r="D224" s="76" t="s">
        <v>24</v>
      </c>
      <c r="E224" s="77">
        <v>0</v>
      </c>
      <c r="F224" s="78"/>
      <c r="G224" s="47">
        <f>SUM(G225+G227+G229)</f>
        <v>-100</v>
      </c>
      <c r="H224" s="114">
        <f>SUM(H225+H227+H229)</f>
        <v>100</v>
      </c>
      <c r="I224" s="114">
        <f>SUM(I225+I227+I229)</f>
        <v>-100</v>
      </c>
      <c r="J224" s="114">
        <f>SUM(J225+J227+J229)</f>
        <v>100</v>
      </c>
      <c r="K224" s="114">
        <f>SUM(K225+K227+K229)</f>
        <v>0</v>
      </c>
    </row>
    <row r="225" spans="1:11" ht="24" customHeight="1" outlineLevel="3">
      <c r="A225" s="75" t="s">
        <v>167</v>
      </c>
      <c r="B225" s="76" t="s">
        <v>39</v>
      </c>
      <c r="C225" s="76" t="s">
        <v>72</v>
      </c>
      <c r="D225" s="76" t="s">
        <v>24</v>
      </c>
      <c r="E225" s="77">
        <v>1</v>
      </c>
      <c r="F225" s="78"/>
      <c r="G225" s="47">
        <f>SUM(G226)</f>
        <v>-20</v>
      </c>
      <c r="H225" s="114">
        <f>SUM(H226)</f>
        <v>30</v>
      </c>
      <c r="I225" s="114">
        <f>SUM(I226)</f>
        <v>-20</v>
      </c>
      <c r="J225" s="114">
        <f>SUM(J226)</f>
        <v>30</v>
      </c>
      <c r="K225" s="114">
        <f>SUM(K226)</f>
        <v>0</v>
      </c>
    </row>
    <row r="226" spans="1:11" ht="21.75" customHeight="1" outlineLevel="3">
      <c r="A226" s="75" t="s">
        <v>104</v>
      </c>
      <c r="B226" s="76" t="s">
        <v>39</v>
      </c>
      <c r="C226" s="76" t="s">
        <v>72</v>
      </c>
      <c r="D226" s="76" t="s">
        <v>24</v>
      </c>
      <c r="E226" s="77">
        <v>1</v>
      </c>
      <c r="F226" s="78">
        <v>200</v>
      </c>
      <c r="G226" s="47">
        <v>-20</v>
      </c>
      <c r="H226" s="114">
        <f>50-20</f>
        <v>30</v>
      </c>
      <c r="I226" s="114">
        <v>-20</v>
      </c>
      <c r="J226" s="114">
        <f>50-20</f>
        <v>30</v>
      </c>
      <c r="K226" s="114">
        <v>0</v>
      </c>
    </row>
    <row r="227" spans="1:11" s="16" customFormat="1" ht="29.25" customHeight="1" outlineLevel="2">
      <c r="A227" s="75" t="s">
        <v>168</v>
      </c>
      <c r="B227" s="76" t="s">
        <v>39</v>
      </c>
      <c r="C227" s="76" t="s">
        <v>72</v>
      </c>
      <c r="D227" s="76" t="s">
        <v>24</v>
      </c>
      <c r="E227" s="77">
        <v>2</v>
      </c>
      <c r="F227" s="78"/>
      <c r="G227" s="47">
        <f>SUM(G228:G228)</f>
        <v>-60</v>
      </c>
      <c r="H227" s="114">
        <f>SUM(H228:H228)</f>
        <v>40</v>
      </c>
      <c r="I227" s="114">
        <f>SUM(I228:I228)</f>
        <v>-60</v>
      </c>
      <c r="J227" s="114">
        <f>SUM(J228:J228)</f>
        <v>40</v>
      </c>
      <c r="K227" s="114">
        <f>SUM(K228:K228)</f>
        <v>0</v>
      </c>
    </row>
    <row r="228" spans="1:11" s="16" customFormat="1" ht="27.75" customHeight="1" outlineLevel="2">
      <c r="A228" s="75" t="s">
        <v>104</v>
      </c>
      <c r="B228" s="76" t="s">
        <v>39</v>
      </c>
      <c r="C228" s="76" t="s">
        <v>72</v>
      </c>
      <c r="D228" s="76" t="s">
        <v>24</v>
      </c>
      <c r="E228" s="77">
        <v>2</v>
      </c>
      <c r="F228" s="78">
        <v>200</v>
      </c>
      <c r="G228" s="47">
        <v>-60</v>
      </c>
      <c r="H228" s="114">
        <f>100-60</f>
        <v>40</v>
      </c>
      <c r="I228" s="114">
        <v>-60</v>
      </c>
      <c r="J228" s="114">
        <f>100-60</f>
        <v>40</v>
      </c>
      <c r="K228" s="114">
        <v>0</v>
      </c>
    </row>
    <row r="229" spans="1:11" s="16" customFormat="1" ht="24.75" customHeight="1" outlineLevel="2">
      <c r="A229" s="75" t="s">
        <v>241</v>
      </c>
      <c r="B229" s="76" t="s">
        <v>39</v>
      </c>
      <c r="C229" s="76" t="s">
        <v>72</v>
      </c>
      <c r="D229" s="76" t="s">
        <v>24</v>
      </c>
      <c r="E229" s="77">
        <v>3</v>
      </c>
      <c r="F229" s="78"/>
      <c r="G229" s="47">
        <f>SUM(G230:G232)</f>
        <v>-20</v>
      </c>
      <c r="H229" s="114">
        <f>SUM(H230:H232)</f>
        <v>30</v>
      </c>
      <c r="I229" s="114">
        <f>SUM(I230:I232)</f>
        <v>-20</v>
      </c>
      <c r="J229" s="114">
        <f>SUM(J230:J232)</f>
        <v>30</v>
      </c>
      <c r="K229" s="114">
        <f>SUM(K230:K232)</f>
        <v>0</v>
      </c>
    </row>
    <row r="230" spans="1:11" s="16" customFormat="1" ht="25.5" customHeight="1" outlineLevel="2">
      <c r="A230" s="75" t="s">
        <v>104</v>
      </c>
      <c r="B230" s="76" t="s">
        <v>39</v>
      </c>
      <c r="C230" s="76" t="s">
        <v>72</v>
      </c>
      <c r="D230" s="76" t="s">
        <v>24</v>
      </c>
      <c r="E230" s="77">
        <v>3</v>
      </c>
      <c r="F230" s="78">
        <v>200</v>
      </c>
      <c r="G230" s="47">
        <v>-20</v>
      </c>
      <c r="H230" s="114">
        <f>50-20</f>
        <v>30</v>
      </c>
      <c r="I230" s="114">
        <v>-20</v>
      </c>
      <c r="J230" s="114">
        <f>50-20</f>
        <v>30</v>
      </c>
      <c r="K230" s="114">
        <v>0</v>
      </c>
    </row>
    <row r="231" spans="1:11" s="16" customFormat="1" ht="24" hidden="1" outlineLevel="2">
      <c r="A231" s="75" t="s">
        <v>104</v>
      </c>
      <c r="B231" s="76" t="s">
        <v>39</v>
      </c>
      <c r="C231" s="76" t="s">
        <v>72</v>
      </c>
      <c r="D231" s="76" t="s">
        <v>24</v>
      </c>
      <c r="E231" s="77">
        <v>3</v>
      </c>
      <c r="F231" s="78">
        <v>200</v>
      </c>
      <c r="G231" s="47"/>
      <c r="H231" s="114">
        <v>0</v>
      </c>
      <c r="I231" s="114"/>
      <c r="J231" s="114">
        <v>0</v>
      </c>
      <c r="K231" s="114">
        <v>0</v>
      </c>
    </row>
    <row r="232" spans="1:11" s="16" customFormat="1" ht="22.5" customHeight="1" hidden="1" outlineLevel="2">
      <c r="A232" s="75" t="s">
        <v>104</v>
      </c>
      <c r="B232" s="76" t="s">
        <v>39</v>
      </c>
      <c r="C232" s="76" t="s">
        <v>72</v>
      </c>
      <c r="D232" s="76" t="s">
        <v>24</v>
      </c>
      <c r="E232" s="77">
        <v>3</v>
      </c>
      <c r="F232" s="78">
        <v>200</v>
      </c>
      <c r="G232" s="47"/>
      <c r="H232" s="114">
        <v>0</v>
      </c>
      <c r="I232" s="114"/>
      <c r="J232" s="114">
        <v>0</v>
      </c>
      <c r="K232" s="114">
        <v>0</v>
      </c>
    </row>
    <row r="233" spans="1:11" ht="35.25" customHeight="1" outlineLevel="3">
      <c r="A233" s="74" t="s">
        <v>271</v>
      </c>
      <c r="B233" s="76" t="s">
        <v>39</v>
      </c>
      <c r="C233" s="76" t="s">
        <v>72</v>
      </c>
      <c r="D233" s="76" t="s">
        <v>21</v>
      </c>
      <c r="E233" s="77">
        <v>0</v>
      </c>
      <c r="F233" s="78"/>
      <c r="G233" s="47">
        <f>SUM(G234)</f>
        <v>1400</v>
      </c>
      <c r="H233" s="114">
        <f>SUM(H234)</f>
        <v>4500</v>
      </c>
      <c r="I233" s="114">
        <f>SUM(I234)</f>
        <v>1400</v>
      </c>
      <c r="J233" s="114">
        <f>SUM(J234)</f>
        <v>4500</v>
      </c>
      <c r="K233" s="114">
        <f>SUM(K234)</f>
        <v>4500</v>
      </c>
    </row>
    <row r="234" spans="1:11" ht="22.5" customHeight="1" outlineLevel="2">
      <c r="A234" s="75" t="s">
        <v>161</v>
      </c>
      <c r="B234" s="76" t="s">
        <v>39</v>
      </c>
      <c r="C234" s="76" t="s">
        <v>72</v>
      </c>
      <c r="D234" s="76" t="s">
        <v>21</v>
      </c>
      <c r="E234" s="77">
        <v>0</v>
      </c>
      <c r="F234" s="78">
        <v>600</v>
      </c>
      <c r="G234" s="47">
        <f>1400</f>
        <v>1400</v>
      </c>
      <c r="H234" s="114">
        <f>3100+1400</f>
        <v>4500</v>
      </c>
      <c r="I234" s="114">
        <v>1400</v>
      </c>
      <c r="J234" s="114">
        <f>3100+1400</f>
        <v>4500</v>
      </c>
      <c r="K234" s="114">
        <v>4500</v>
      </c>
    </row>
    <row r="235" spans="1:11" ht="15.75" outlineLevel="3">
      <c r="A235" s="74" t="s">
        <v>169</v>
      </c>
      <c r="B235" s="76" t="s">
        <v>39</v>
      </c>
      <c r="C235" s="76" t="s">
        <v>72</v>
      </c>
      <c r="D235" s="76" t="s">
        <v>16</v>
      </c>
      <c r="E235" s="77">
        <v>0</v>
      </c>
      <c r="F235" s="78"/>
      <c r="G235" s="47">
        <f>SUM(G236)</f>
        <v>101.6</v>
      </c>
      <c r="H235" s="114">
        <f>SUM(H236)</f>
        <v>1684.8999999999999</v>
      </c>
      <c r="I235" s="114">
        <f>SUM(I236)</f>
        <v>-86.50000000000001</v>
      </c>
      <c r="J235" s="114">
        <f>SUM(J236)</f>
        <v>1496.8000000000002</v>
      </c>
      <c r="K235" s="114">
        <f>SUM(K236)</f>
        <v>1555.8999999999999</v>
      </c>
    </row>
    <row r="236" spans="1:11" ht="24" outlineLevel="3">
      <c r="A236" s="75" t="s">
        <v>160</v>
      </c>
      <c r="B236" s="76" t="s">
        <v>39</v>
      </c>
      <c r="C236" s="76" t="s">
        <v>72</v>
      </c>
      <c r="D236" s="76" t="s">
        <v>16</v>
      </c>
      <c r="E236" s="77">
        <v>0</v>
      </c>
      <c r="F236" s="78"/>
      <c r="G236" s="47">
        <f>SUM(G237:G238)</f>
        <v>101.6</v>
      </c>
      <c r="H236" s="114">
        <f>SUM(H237:H238)</f>
        <v>1684.8999999999999</v>
      </c>
      <c r="I236" s="114">
        <f>SUM(I237:I238)</f>
        <v>-86.50000000000001</v>
      </c>
      <c r="J236" s="114">
        <f>SUM(J237:J238)</f>
        <v>1496.8000000000002</v>
      </c>
      <c r="K236" s="114">
        <f>SUM(K237:K238)</f>
        <v>1555.8999999999999</v>
      </c>
    </row>
    <row r="237" spans="1:11" ht="36" outlineLevel="1">
      <c r="A237" s="74" t="s">
        <v>170</v>
      </c>
      <c r="B237" s="76" t="s">
        <v>39</v>
      </c>
      <c r="C237" s="76" t="s">
        <v>72</v>
      </c>
      <c r="D237" s="76" t="s">
        <v>16</v>
      </c>
      <c r="E237" s="77">
        <v>0</v>
      </c>
      <c r="F237" s="78">
        <v>600</v>
      </c>
      <c r="G237" s="47">
        <f>8.5</f>
        <v>8.5</v>
      </c>
      <c r="H237" s="114">
        <f>1428.8+79.1+8.5</f>
        <v>1516.3999999999999</v>
      </c>
      <c r="I237" s="114">
        <v>-160.8</v>
      </c>
      <c r="J237" s="114">
        <f>1507.9-160.8</f>
        <v>1347.1000000000001</v>
      </c>
      <c r="K237" s="114">
        <v>1400.3</v>
      </c>
    </row>
    <row r="238" spans="1:11" ht="15" customHeight="1" outlineLevel="1">
      <c r="A238" s="75" t="s">
        <v>161</v>
      </c>
      <c r="B238" s="76" t="s">
        <v>39</v>
      </c>
      <c r="C238" s="76" t="s">
        <v>72</v>
      </c>
      <c r="D238" s="76" t="s">
        <v>16</v>
      </c>
      <c r="E238" s="77">
        <v>0</v>
      </c>
      <c r="F238" s="78">
        <v>600</v>
      </c>
      <c r="G238" s="47">
        <v>93.1</v>
      </c>
      <c r="H238" s="114">
        <f>71.5+3.9+93.1</f>
        <v>168.5</v>
      </c>
      <c r="I238" s="114">
        <v>74.3</v>
      </c>
      <c r="J238" s="114">
        <f>75.4+74.3</f>
        <v>149.7</v>
      </c>
      <c r="K238" s="114">
        <v>155.6</v>
      </c>
    </row>
    <row r="239" spans="1:11" ht="18" customHeight="1" outlineLevel="1">
      <c r="A239" s="75" t="s">
        <v>74</v>
      </c>
      <c r="B239" s="76" t="s">
        <v>39</v>
      </c>
      <c r="C239" s="76" t="s">
        <v>75</v>
      </c>
      <c r="D239" s="76"/>
      <c r="E239" s="77"/>
      <c r="F239" s="78"/>
      <c r="G239" s="47">
        <f>SUM(G242+G240)</f>
        <v>0</v>
      </c>
      <c r="H239" s="114">
        <f>SUM(H242+H240)</f>
        <v>1315</v>
      </c>
      <c r="I239" s="114">
        <f>SUM(I242+I240)</f>
        <v>0</v>
      </c>
      <c r="J239" s="114">
        <f>SUM(J242+J240)</f>
        <v>1315</v>
      </c>
      <c r="K239" s="114">
        <f>SUM(K242+K240)</f>
        <v>1315</v>
      </c>
    </row>
    <row r="240" spans="1:11" ht="60" outlineLevel="1">
      <c r="A240" s="75" t="s">
        <v>264</v>
      </c>
      <c r="B240" s="76" t="s">
        <v>39</v>
      </c>
      <c r="C240" s="76" t="s">
        <v>75</v>
      </c>
      <c r="D240" s="76" t="s">
        <v>211</v>
      </c>
      <c r="E240" s="77">
        <v>0</v>
      </c>
      <c r="F240" s="79"/>
      <c r="G240" s="47">
        <f>SUM(G241)</f>
        <v>0</v>
      </c>
      <c r="H240" s="114">
        <f>SUM(H241)</f>
        <v>20</v>
      </c>
      <c r="I240" s="114">
        <f>SUM(I241)</f>
        <v>0</v>
      </c>
      <c r="J240" s="114">
        <f>SUM(J241)</f>
        <v>20</v>
      </c>
      <c r="K240" s="114">
        <f>SUM(K241)</f>
        <v>20</v>
      </c>
    </row>
    <row r="241" spans="1:11" ht="21" customHeight="1" outlineLevel="1">
      <c r="A241" s="75" t="s">
        <v>162</v>
      </c>
      <c r="B241" s="76" t="s">
        <v>39</v>
      </c>
      <c r="C241" s="76" t="s">
        <v>75</v>
      </c>
      <c r="D241" s="76" t="s">
        <v>211</v>
      </c>
      <c r="E241" s="77">
        <v>0</v>
      </c>
      <c r="F241" s="79">
        <v>300</v>
      </c>
      <c r="G241" s="47"/>
      <c r="H241" s="114">
        <f>20</f>
        <v>20</v>
      </c>
      <c r="I241" s="114"/>
      <c r="J241" s="114">
        <f>20</f>
        <v>20</v>
      </c>
      <c r="K241" s="114">
        <f>20</f>
        <v>20</v>
      </c>
    </row>
    <row r="242" spans="1:11" ht="44.25" customHeight="1" outlineLevel="1">
      <c r="A242" s="74" t="s">
        <v>277</v>
      </c>
      <c r="B242" s="76" t="s">
        <v>39</v>
      </c>
      <c r="C242" s="76" t="s">
        <v>75</v>
      </c>
      <c r="D242" s="76" t="s">
        <v>22</v>
      </c>
      <c r="E242" s="77">
        <v>0</v>
      </c>
      <c r="F242" s="78"/>
      <c r="G242" s="47">
        <f>SUM(G243:G245)</f>
        <v>0</v>
      </c>
      <c r="H242" s="114">
        <f>SUM(H243:H245)</f>
        <v>1295</v>
      </c>
      <c r="I242" s="114">
        <f>SUM(I243:I245)</f>
        <v>0</v>
      </c>
      <c r="J242" s="114">
        <f>SUM(J243:J245)</f>
        <v>1295</v>
      </c>
      <c r="K242" s="114">
        <f>SUM(K243:K245)</f>
        <v>1295</v>
      </c>
    </row>
    <row r="243" spans="1:11" ht="23.25" customHeight="1" outlineLevel="1">
      <c r="A243" s="75" t="s">
        <v>103</v>
      </c>
      <c r="B243" s="76" t="s">
        <v>39</v>
      </c>
      <c r="C243" s="76" t="s">
        <v>75</v>
      </c>
      <c r="D243" s="76" t="s">
        <v>22</v>
      </c>
      <c r="E243" s="77">
        <v>0</v>
      </c>
      <c r="F243" s="78">
        <v>100</v>
      </c>
      <c r="G243" s="47">
        <v>0.2</v>
      </c>
      <c r="H243" s="114">
        <f>570+470+200+0.2</f>
        <v>1240.2</v>
      </c>
      <c r="I243" s="114">
        <v>0.2</v>
      </c>
      <c r="J243" s="114">
        <f>570+470+200+0.2</f>
        <v>1240.2</v>
      </c>
      <c r="K243" s="114">
        <f>570+470+200+0.2</f>
        <v>1240.2</v>
      </c>
    </row>
    <row r="244" spans="1:11" ht="17.25" customHeight="1" outlineLevel="1">
      <c r="A244" s="75" t="s">
        <v>104</v>
      </c>
      <c r="B244" s="76" t="s">
        <v>39</v>
      </c>
      <c r="C244" s="76" t="s">
        <v>75</v>
      </c>
      <c r="D244" s="76" t="s">
        <v>22</v>
      </c>
      <c r="E244" s="77">
        <v>0</v>
      </c>
      <c r="F244" s="78">
        <v>200</v>
      </c>
      <c r="G244" s="47"/>
      <c r="H244" s="114">
        <v>54.8</v>
      </c>
      <c r="I244" s="114"/>
      <c r="J244" s="114">
        <v>54.8</v>
      </c>
      <c r="K244" s="114">
        <v>54.8</v>
      </c>
    </row>
    <row r="245" spans="1:11" ht="15.75" hidden="1" outlineLevel="1">
      <c r="A245" s="75" t="s">
        <v>149</v>
      </c>
      <c r="B245" s="76" t="s">
        <v>39</v>
      </c>
      <c r="C245" s="76" t="s">
        <v>75</v>
      </c>
      <c r="D245" s="76" t="s">
        <v>22</v>
      </c>
      <c r="E245" s="77">
        <v>0</v>
      </c>
      <c r="F245" s="78">
        <v>800</v>
      </c>
      <c r="G245" s="47">
        <v>-0.2</v>
      </c>
      <c r="H245" s="114">
        <f>0.2-0.2</f>
        <v>0</v>
      </c>
      <c r="I245" s="114">
        <v>-0.2</v>
      </c>
      <c r="J245" s="114">
        <f>0.2-0.2</f>
        <v>0</v>
      </c>
      <c r="K245" s="114">
        <f>0.2-0.2</f>
        <v>0</v>
      </c>
    </row>
    <row r="246" spans="1:11" ht="15.75" outlineLevel="1">
      <c r="A246" s="75" t="s">
        <v>76</v>
      </c>
      <c r="B246" s="76" t="s">
        <v>39</v>
      </c>
      <c r="C246" s="76" t="s">
        <v>118</v>
      </c>
      <c r="D246" s="76"/>
      <c r="E246" s="77"/>
      <c r="F246" s="78"/>
      <c r="G246" s="47">
        <f>SUM(G247+G264+G266)</f>
        <v>2950</v>
      </c>
      <c r="H246" s="114">
        <f>SUM(H247+H264+H266)</f>
        <v>13400</v>
      </c>
      <c r="I246" s="114">
        <f>SUM(I247+I264+I266)</f>
        <v>2950</v>
      </c>
      <c r="J246" s="114">
        <f>SUM(J247+J264+J266)</f>
        <v>13400</v>
      </c>
      <c r="K246" s="114">
        <f>SUM(K247+K264+K266)</f>
        <v>13400</v>
      </c>
    </row>
    <row r="247" spans="1:11" ht="15" customHeight="1" outlineLevel="1">
      <c r="A247" s="75" t="s">
        <v>119</v>
      </c>
      <c r="B247" s="76" t="s">
        <v>39</v>
      </c>
      <c r="C247" s="76" t="s">
        <v>82</v>
      </c>
      <c r="D247" s="76"/>
      <c r="E247" s="77"/>
      <c r="F247" s="78"/>
      <c r="G247" s="47">
        <f>SUM(G248+G251+G253+G258+G260+G262+G255)</f>
        <v>2396</v>
      </c>
      <c r="H247" s="114">
        <f>SUM(H248+H251+H253+H258+H260+H262+H255)</f>
        <v>11691</v>
      </c>
      <c r="I247" s="114">
        <f>SUM(I248+I251+I253+I258+I260+I262+I255)</f>
        <v>2396</v>
      </c>
      <c r="J247" s="114">
        <f>SUM(J248+J251+J253+J258+J260+J262+J255)</f>
        <v>11691</v>
      </c>
      <c r="K247" s="114">
        <f>SUM(K248+K251+K253+K258+K260+K262+K255)</f>
        <v>11691</v>
      </c>
    </row>
    <row r="248" spans="1:11" ht="24" hidden="1" outlineLevel="1">
      <c r="A248" s="75" t="s">
        <v>298</v>
      </c>
      <c r="B248" s="76" t="s">
        <v>39</v>
      </c>
      <c r="C248" s="76" t="s">
        <v>82</v>
      </c>
      <c r="D248" s="76" t="s">
        <v>12</v>
      </c>
      <c r="E248" s="77">
        <v>0</v>
      </c>
      <c r="F248" s="78"/>
      <c r="G248" s="47">
        <f>SUM(G249:G250)</f>
        <v>0</v>
      </c>
      <c r="H248" s="114">
        <f>SUM(H249:H250)</f>
        <v>0</v>
      </c>
      <c r="I248" s="114">
        <f>SUM(I249:I250)</f>
        <v>0</v>
      </c>
      <c r="J248" s="114">
        <f>SUM(J249:J250)</f>
        <v>0</v>
      </c>
      <c r="K248" s="114">
        <f>SUM(K249:K250)</f>
        <v>0</v>
      </c>
    </row>
    <row r="249" spans="1:11" ht="36" hidden="1" outlineLevel="2">
      <c r="A249" s="75" t="s">
        <v>318</v>
      </c>
      <c r="B249" s="76" t="s">
        <v>39</v>
      </c>
      <c r="C249" s="76" t="s">
        <v>82</v>
      </c>
      <c r="D249" s="76" t="s">
        <v>12</v>
      </c>
      <c r="E249" s="77">
        <v>0</v>
      </c>
      <c r="F249" s="78">
        <v>244</v>
      </c>
      <c r="G249" s="47"/>
      <c r="H249" s="114">
        <v>0</v>
      </c>
      <c r="I249" s="114"/>
      <c r="J249" s="114">
        <v>0</v>
      </c>
      <c r="K249" s="114">
        <v>0</v>
      </c>
    </row>
    <row r="250" spans="1:11" ht="24" hidden="1" outlineLevel="5">
      <c r="A250" s="75" t="s">
        <v>314</v>
      </c>
      <c r="B250" s="76" t="s">
        <v>39</v>
      </c>
      <c r="C250" s="76" t="s">
        <v>82</v>
      </c>
      <c r="D250" s="76" t="s">
        <v>12</v>
      </c>
      <c r="E250" s="77">
        <v>0</v>
      </c>
      <c r="F250" s="78">
        <v>244</v>
      </c>
      <c r="G250" s="47"/>
      <c r="H250" s="114">
        <v>0</v>
      </c>
      <c r="I250" s="114"/>
      <c r="J250" s="114">
        <v>0</v>
      </c>
      <c r="K250" s="114">
        <v>0</v>
      </c>
    </row>
    <row r="251" spans="1:11" ht="25.5" customHeight="1" outlineLevel="1">
      <c r="A251" s="75" t="s">
        <v>275</v>
      </c>
      <c r="B251" s="76" t="s">
        <v>39</v>
      </c>
      <c r="C251" s="76" t="s">
        <v>82</v>
      </c>
      <c r="D251" s="76" t="s">
        <v>5</v>
      </c>
      <c r="E251" s="77">
        <v>0</v>
      </c>
      <c r="F251" s="79"/>
      <c r="G251" s="47">
        <f>SUM(G252)</f>
        <v>0</v>
      </c>
      <c r="H251" s="114">
        <f>SUM(H252)</f>
        <v>50</v>
      </c>
      <c r="I251" s="114">
        <f>SUM(I252)</f>
        <v>0</v>
      </c>
      <c r="J251" s="114">
        <f>SUM(J252)</f>
        <v>50</v>
      </c>
      <c r="K251" s="114">
        <f>SUM(K252)</f>
        <v>50</v>
      </c>
    </row>
    <row r="252" spans="1:11" ht="24" outlineLevel="2">
      <c r="A252" s="75" t="s">
        <v>161</v>
      </c>
      <c r="B252" s="76" t="s">
        <v>39</v>
      </c>
      <c r="C252" s="76" t="s">
        <v>82</v>
      </c>
      <c r="D252" s="76" t="s">
        <v>5</v>
      </c>
      <c r="E252" s="77">
        <v>0</v>
      </c>
      <c r="F252" s="79">
        <v>600</v>
      </c>
      <c r="G252" s="47"/>
      <c r="H252" s="114">
        <f>50</f>
        <v>50</v>
      </c>
      <c r="I252" s="114"/>
      <c r="J252" s="114">
        <f>50</f>
        <v>50</v>
      </c>
      <c r="K252" s="114">
        <f>50</f>
        <v>50</v>
      </c>
    </row>
    <row r="253" spans="1:11" ht="24.75" customHeight="1" outlineLevel="5">
      <c r="A253" s="74" t="s">
        <v>261</v>
      </c>
      <c r="B253" s="76" t="s">
        <v>39</v>
      </c>
      <c r="C253" s="76" t="s">
        <v>82</v>
      </c>
      <c r="D253" s="76" t="s">
        <v>4</v>
      </c>
      <c r="E253" s="77">
        <v>0</v>
      </c>
      <c r="F253" s="79"/>
      <c r="G253" s="47">
        <f>SUM(G254)</f>
        <v>-50</v>
      </c>
      <c r="H253" s="114">
        <f>SUM(H254)</f>
        <v>50</v>
      </c>
      <c r="I253" s="114">
        <f>SUM(I254)</f>
        <v>-50</v>
      </c>
      <c r="J253" s="114">
        <f>SUM(J254)</f>
        <v>50</v>
      </c>
      <c r="K253" s="114">
        <f>SUM(K254)</f>
        <v>50</v>
      </c>
    </row>
    <row r="254" spans="1:11" ht="20.25" customHeight="1" outlineLevel="3">
      <c r="A254" s="75" t="s">
        <v>161</v>
      </c>
      <c r="B254" s="76" t="s">
        <v>39</v>
      </c>
      <c r="C254" s="76" t="s">
        <v>82</v>
      </c>
      <c r="D254" s="76" t="s">
        <v>4</v>
      </c>
      <c r="E254" s="77">
        <v>0</v>
      </c>
      <c r="F254" s="79">
        <v>600</v>
      </c>
      <c r="G254" s="47">
        <f>-50</f>
        <v>-50</v>
      </c>
      <c r="H254" s="114">
        <f>100-50</f>
        <v>50</v>
      </c>
      <c r="I254" s="114">
        <v>-50</v>
      </c>
      <c r="J254" s="114">
        <f>50</f>
        <v>50</v>
      </c>
      <c r="K254" s="114">
        <v>50</v>
      </c>
    </row>
    <row r="255" spans="1:11" ht="24" hidden="1" outlineLevel="3">
      <c r="A255" s="75" t="s">
        <v>160</v>
      </c>
      <c r="B255" s="76" t="s">
        <v>39</v>
      </c>
      <c r="C255" s="76" t="s">
        <v>82</v>
      </c>
      <c r="D255" s="76" t="s">
        <v>16</v>
      </c>
      <c r="E255" s="77">
        <v>0</v>
      </c>
      <c r="F255" s="78"/>
      <c r="G255" s="47">
        <f>SUM(G256)</f>
        <v>0</v>
      </c>
      <c r="H255" s="114">
        <f>SUM(H256)</f>
        <v>0</v>
      </c>
      <c r="I255" s="114">
        <f>SUM(I256)</f>
        <v>0</v>
      </c>
      <c r="J255" s="114">
        <f>SUM(J256)</f>
        <v>0</v>
      </c>
      <c r="K255" s="114">
        <f>SUM(K256)</f>
        <v>0</v>
      </c>
    </row>
    <row r="256" spans="1:11" ht="24" hidden="1" outlineLevel="3">
      <c r="A256" s="75" t="s">
        <v>104</v>
      </c>
      <c r="B256" s="76" t="s">
        <v>39</v>
      </c>
      <c r="C256" s="76" t="s">
        <v>82</v>
      </c>
      <c r="D256" s="76" t="s">
        <v>16</v>
      </c>
      <c r="E256" s="77">
        <v>0</v>
      </c>
      <c r="F256" s="78">
        <v>200</v>
      </c>
      <c r="G256" s="47"/>
      <c r="H256" s="114">
        <v>0</v>
      </c>
      <c r="I256" s="114"/>
      <c r="J256" s="114">
        <v>0</v>
      </c>
      <c r="K256" s="114">
        <v>0</v>
      </c>
    </row>
    <row r="257" spans="1:11" ht="27.75" customHeight="1" outlineLevel="3">
      <c r="A257" s="74" t="s">
        <v>272</v>
      </c>
      <c r="B257" s="76" t="s">
        <v>39</v>
      </c>
      <c r="C257" s="76" t="s">
        <v>118</v>
      </c>
      <c r="D257" s="76" t="s">
        <v>23</v>
      </c>
      <c r="E257" s="77">
        <v>0</v>
      </c>
      <c r="F257" s="78"/>
      <c r="G257" s="47">
        <f>SUM(G258+G260+G262+G264+G266)</f>
        <v>3000</v>
      </c>
      <c r="H257" s="114">
        <f>SUM(H258+H260+H262+H264+H266)</f>
        <v>13300</v>
      </c>
      <c r="I257" s="114">
        <f>SUM(I258+I260+I262+I264+I266)</f>
        <v>3000</v>
      </c>
      <c r="J257" s="114">
        <f>SUM(J258+J260+J262+J264+J266)</f>
        <v>13300</v>
      </c>
      <c r="K257" s="114">
        <f>SUM(K258+K260+K262+K264+K266)</f>
        <v>13300</v>
      </c>
    </row>
    <row r="258" spans="1:11" ht="15.75" outlineLevel="3">
      <c r="A258" s="74" t="s">
        <v>77</v>
      </c>
      <c r="B258" s="76" t="s">
        <v>39</v>
      </c>
      <c r="C258" s="76" t="s">
        <v>82</v>
      </c>
      <c r="D258" s="76" t="s">
        <v>23</v>
      </c>
      <c r="E258" s="77">
        <v>0</v>
      </c>
      <c r="F258" s="78"/>
      <c r="G258" s="47">
        <f>SUM(G259:G259)</f>
        <v>1427</v>
      </c>
      <c r="H258" s="114">
        <f>SUM(H259:H259)</f>
        <v>8641</v>
      </c>
      <c r="I258" s="114">
        <f>SUM(I259:I259)</f>
        <v>1427</v>
      </c>
      <c r="J258" s="114">
        <f>SUM(J259:J259)</f>
        <v>8641</v>
      </c>
      <c r="K258" s="114">
        <f>SUM(K259:K259)</f>
        <v>8641</v>
      </c>
    </row>
    <row r="259" spans="1:11" ht="27" customHeight="1" outlineLevel="3">
      <c r="A259" s="75" t="s">
        <v>161</v>
      </c>
      <c r="B259" s="76" t="s">
        <v>39</v>
      </c>
      <c r="C259" s="76" t="s">
        <v>82</v>
      </c>
      <c r="D259" s="76" t="s">
        <v>23</v>
      </c>
      <c r="E259" s="77">
        <v>0</v>
      </c>
      <c r="F259" s="78">
        <v>600</v>
      </c>
      <c r="G259" s="47">
        <v>1427</v>
      </c>
      <c r="H259" s="114">
        <f>7214+1427</f>
        <v>8641</v>
      </c>
      <c r="I259" s="114">
        <v>1427</v>
      </c>
      <c r="J259" s="114">
        <f>7214+1427</f>
        <v>8641</v>
      </c>
      <c r="K259" s="114">
        <f>7214+1427</f>
        <v>8641</v>
      </c>
    </row>
    <row r="260" spans="1:11" ht="16.5" customHeight="1" outlineLevel="5">
      <c r="A260" s="74" t="s">
        <v>78</v>
      </c>
      <c r="B260" s="76" t="s">
        <v>39</v>
      </c>
      <c r="C260" s="76" t="s">
        <v>82</v>
      </c>
      <c r="D260" s="76" t="s">
        <v>23</v>
      </c>
      <c r="E260" s="77">
        <v>0</v>
      </c>
      <c r="F260" s="79"/>
      <c r="G260" s="47">
        <f>SUM(G261)</f>
        <v>731</v>
      </c>
      <c r="H260" s="114">
        <f>SUM(H261)</f>
        <v>1593</v>
      </c>
      <c r="I260" s="114">
        <f>SUM(I261)</f>
        <v>731</v>
      </c>
      <c r="J260" s="114">
        <f>SUM(J261)</f>
        <v>1593</v>
      </c>
      <c r="K260" s="114">
        <f>SUM(K261)</f>
        <v>1593</v>
      </c>
    </row>
    <row r="261" spans="1:11" ht="27" customHeight="1" outlineLevel="5">
      <c r="A261" s="75" t="s">
        <v>161</v>
      </c>
      <c r="B261" s="76" t="s">
        <v>39</v>
      </c>
      <c r="C261" s="76" t="s">
        <v>82</v>
      </c>
      <c r="D261" s="76" t="s">
        <v>23</v>
      </c>
      <c r="E261" s="77">
        <v>0</v>
      </c>
      <c r="F261" s="79">
        <v>600</v>
      </c>
      <c r="G261" s="47">
        <v>731</v>
      </c>
      <c r="H261" s="114">
        <f>862+731</f>
        <v>1593</v>
      </c>
      <c r="I261" s="114">
        <v>731</v>
      </c>
      <c r="J261" s="114">
        <f>862+731</f>
        <v>1593</v>
      </c>
      <c r="K261" s="114">
        <f>862+731</f>
        <v>1593</v>
      </c>
    </row>
    <row r="262" spans="1:11" ht="15.75" outlineLevel="5">
      <c r="A262" s="74" t="s">
        <v>79</v>
      </c>
      <c r="B262" s="76" t="s">
        <v>39</v>
      </c>
      <c r="C262" s="76" t="s">
        <v>82</v>
      </c>
      <c r="D262" s="76" t="s">
        <v>23</v>
      </c>
      <c r="E262" s="77">
        <v>0</v>
      </c>
      <c r="F262" s="79"/>
      <c r="G262" s="47">
        <f>SUM(G263:G263)</f>
        <v>288</v>
      </c>
      <c r="H262" s="114">
        <f>SUM(H263:H263)</f>
        <v>1357</v>
      </c>
      <c r="I262" s="114">
        <f>SUM(I263:I263)</f>
        <v>288</v>
      </c>
      <c r="J262" s="114">
        <f>SUM(J263:J263)</f>
        <v>1357</v>
      </c>
      <c r="K262" s="114">
        <f>SUM(K263:K263)</f>
        <v>1357</v>
      </c>
    </row>
    <row r="263" spans="1:11" ht="24" outlineLevel="5">
      <c r="A263" s="75" t="s">
        <v>161</v>
      </c>
      <c r="B263" s="76" t="s">
        <v>39</v>
      </c>
      <c r="C263" s="76" t="s">
        <v>82</v>
      </c>
      <c r="D263" s="76" t="s">
        <v>23</v>
      </c>
      <c r="E263" s="77">
        <v>0</v>
      </c>
      <c r="F263" s="79">
        <v>600</v>
      </c>
      <c r="G263" s="47">
        <f>288</f>
        <v>288</v>
      </c>
      <c r="H263" s="114">
        <f>1069+288</f>
        <v>1357</v>
      </c>
      <c r="I263" s="114">
        <f>288</f>
        <v>288</v>
      </c>
      <c r="J263" s="114">
        <f>1069+288</f>
        <v>1357</v>
      </c>
      <c r="K263" s="114">
        <f>1069+288</f>
        <v>1357</v>
      </c>
    </row>
    <row r="264" spans="1:11" ht="15.75" outlineLevel="5">
      <c r="A264" s="74" t="s">
        <v>80</v>
      </c>
      <c r="B264" s="76" t="s">
        <v>39</v>
      </c>
      <c r="C264" s="76" t="s">
        <v>83</v>
      </c>
      <c r="D264" s="76" t="s">
        <v>23</v>
      </c>
      <c r="E264" s="77">
        <v>0</v>
      </c>
      <c r="F264" s="79"/>
      <c r="G264" s="47">
        <f>SUM(G265)</f>
        <v>-42</v>
      </c>
      <c r="H264" s="114">
        <f>SUM(H265)</f>
        <v>267</v>
      </c>
      <c r="I264" s="114">
        <f>SUM(I265)</f>
        <v>-42</v>
      </c>
      <c r="J264" s="114">
        <f>SUM(J265)</f>
        <v>267</v>
      </c>
      <c r="K264" s="114">
        <f>SUM(K265)</f>
        <v>267</v>
      </c>
    </row>
    <row r="265" spans="1:11" ht="24" outlineLevel="5">
      <c r="A265" s="75" t="s">
        <v>161</v>
      </c>
      <c r="B265" s="76" t="s">
        <v>39</v>
      </c>
      <c r="C265" s="76" t="s">
        <v>83</v>
      </c>
      <c r="D265" s="76" t="s">
        <v>23</v>
      </c>
      <c r="E265" s="77">
        <v>0</v>
      </c>
      <c r="F265" s="79">
        <v>600</v>
      </c>
      <c r="G265" s="47">
        <v>-42</v>
      </c>
      <c r="H265" s="114">
        <f>309-42</f>
        <v>267</v>
      </c>
      <c r="I265" s="114">
        <v>-42</v>
      </c>
      <c r="J265" s="114">
        <f>309-42</f>
        <v>267</v>
      </c>
      <c r="K265" s="114">
        <f>309-42</f>
        <v>267</v>
      </c>
    </row>
    <row r="266" spans="1:11" ht="15.75" outlineLevel="5">
      <c r="A266" s="74" t="s">
        <v>81</v>
      </c>
      <c r="B266" s="76" t="s">
        <v>39</v>
      </c>
      <c r="C266" s="76" t="s">
        <v>84</v>
      </c>
      <c r="D266" s="76" t="s">
        <v>23</v>
      </c>
      <c r="E266" s="77">
        <v>0</v>
      </c>
      <c r="F266" s="79"/>
      <c r="G266" s="47">
        <f>SUM(G267)</f>
        <v>596</v>
      </c>
      <c r="H266" s="114">
        <f>SUM(H267)</f>
        <v>1442</v>
      </c>
      <c r="I266" s="114">
        <f>SUM(I267)</f>
        <v>596</v>
      </c>
      <c r="J266" s="114">
        <f>SUM(J267)</f>
        <v>1442</v>
      </c>
      <c r="K266" s="114">
        <f>SUM(K267)</f>
        <v>1442</v>
      </c>
    </row>
    <row r="267" spans="1:11" ht="25.5" customHeight="1" outlineLevel="5">
      <c r="A267" s="75" t="s">
        <v>161</v>
      </c>
      <c r="B267" s="76" t="s">
        <v>39</v>
      </c>
      <c r="C267" s="76" t="s">
        <v>84</v>
      </c>
      <c r="D267" s="76" t="s">
        <v>23</v>
      </c>
      <c r="E267" s="77">
        <v>0</v>
      </c>
      <c r="F267" s="79">
        <v>600</v>
      </c>
      <c r="G267" s="47">
        <v>596</v>
      </c>
      <c r="H267" s="114">
        <f>596+846</f>
        <v>1442</v>
      </c>
      <c r="I267" s="114">
        <v>596</v>
      </c>
      <c r="J267" s="114">
        <f>846+596</f>
        <v>1442</v>
      </c>
      <c r="K267" s="114">
        <f>846+596</f>
        <v>1442</v>
      </c>
    </row>
    <row r="268" spans="1:11" ht="15" customHeight="1" outlineLevel="5">
      <c r="A268" s="75" t="s">
        <v>217</v>
      </c>
      <c r="B268" s="76" t="s">
        <v>39</v>
      </c>
      <c r="C268" s="76" t="s">
        <v>218</v>
      </c>
      <c r="D268" s="76"/>
      <c r="E268" s="77"/>
      <c r="F268" s="79"/>
      <c r="G268" s="47">
        <f>SUM(G269)</f>
        <v>0</v>
      </c>
      <c r="H268" s="114">
        <f>SUM(H269)</f>
        <v>0</v>
      </c>
      <c r="I268" s="114">
        <f>SUM(I269)</f>
        <v>0</v>
      </c>
      <c r="J268" s="114">
        <f>SUM(J269)</f>
        <v>0</v>
      </c>
      <c r="K268" s="114">
        <f>SUM(K269)</f>
        <v>0</v>
      </c>
    </row>
    <row r="269" spans="1:11" ht="0.75" customHeight="1" hidden="1" outlineLevel="5">
      <c r="A269" s="75" t="s">
        <v>219</v>
      </c>
      <c r="B269" s="76" t="s">
        <v>39</v>
      </c>
      <c r="C269" s="76" t="s">
        <v>220</v>
      </c>
      <c r="D269" s="76"/>
      <c r="E269" s="77"/>
      <c r="F269" s="79"/>
      <c r="G269" s="47">
        <f>SUM(G272)</f>
        <v>0</v>
      </c>
      <c r="H269" s="114">
        <f>SUM(H272)</f>
        <v>0</v>
      </c>
      <c r="I269" s="114">
        <f>SUM(I272)</f>
        <v>0</v>
      </c>
      <c r="J269" s="114">
        <f>SUM(J272)</f>
        <v>0</v>
      </c>
      <c r="K269" s="114">
        <f>SUM(K272)</f>
        <v>0</v>
      </c>
    </row>
    <row r="270" spans="1:11" ht="36" hidden="1" outlineLevel="5">
      <c r="A270" s="75" t="s">
        <v>274</v>
      </c>
      <c r="B270" s="76" t="s">
        <v>39</v>
      </c>
      <c r="C270" s="76" t="s">
        <v>220</v>
      </c>
      <c r="D270" s="76" t="s">
        <v>6</v>
      </c>
      <c r="E270" s="77">
        <v>0</v>
      </c>
      <c r="F270" s="79"/>
      <c r="G270" s="47">
        <f>SUM(G271)</f>
        <v>0</v>
      </c>
      <c r="H270" s="114">
        <f>SUM(H271)</f>
        <v>0</v>
      </c>
      <c r="I270" s="114">
        <f>SUM(I271)</f>
        <v>0</v>
      </c>
      <c r="J270" s="114">
        <f>SUM(J271)</f>
        <v>0</v>
      </c>
      <c r="K270" s="114">
        <f>SUM(K271)</f>
        <v>0</v>
      </c>
    </row>
    <row r="271" spans="1:11" ht="24" hidden="1" outlineLevel="5">
      <c r="A271" s="75" t="s">
        <v>208</v>
      </c>
      <c r="B271" s="76" t="s">
        <v>39</v>
      </c>
      <c r="C271" s="76" t="s">
        <v>220</v>
      </c>
      <c r="D271" s="76" t="s">
        <v>6</v>
      </c>
      <c r="E271" s="77">
        <v>3</v>
      </c>
      <c r="F271" s="78"/>
      <c r="G271" s="47">
        <f>SUM(G272:G272)</f>
        <v>0</v>
      </c>
      <c r="H271" s="114">
        <f>SUM(H272:H272)</f>
        <v>0</v>
      </c>
      <c r="I271" s="114">
        <f>SUM(I272:I272)</f>
        <v>0</v>
      </c>
      <c r="J271" s="114">
        <f>SUM(J272:J272)</f>
        <v>0</v>
      </c>
      <c r="K271" s="114">
        <f>SUM(K272:K272)</f>
        <v>0</v>
      </c>
    </row>
    <row r="272" spans="1:11" ht="24" hidden="1" outlineLevel="5">
      <c r="A272" s="75" t="s">
        <v>164</v>
      </c>
      <c r="B272" s="76" t="s">
        <v>39</v>
      </c>
      <c r="C272" s="76" t="s">
        <v>220</v>
      </c>
      <c r="D272" s="76" t="s">
        <v>6</v>
      </c>
      <c r="E272" s="77">
        <v>3</v>
      </c>
      <c r="F272" s="78">
        <v>400</v>
      </c>
      <c r="G272" s="47"/>
      <c r="H272" s="114">
        <v>0</v>
      </c>
      <c r="I272" s="114"/>
      <c r="J272" s="114">
        <v>0</v>
      </c>
      <c r="K272" s="114">
        <v>0</v>
      </c>
    </row>
    <row r="273" spans="1:11" ht="21" customHeight="1" outlineLevel="5">
      <c r="A273" s="75" t="s">
        <v>85</v>
      </c>
      <c r="B273" s="76" t="s">
        <v>39</v>
      </c>
      <c r="C273" s="76" t="s">
        <v>171</v>
      </c>
      <c r="D273" s="76"/>
      <c r="E273" s="77"/>
      <c r="F273" s="78"/>
      <c r="G273" s="47">
        <f>SUM(G274+G277+G287+G297)</f>
        <v>-2852.2000000000003</v>
      </c>
      <c r="H273" s="114">
        <f>SUM(H274+H277+H287+H297)</f>
        <v>28140.6</v>
      </c>
      <c r="I273" s="114">
        <f>SUM(I274+I277+I287+I297)</f>
        <v>-3899.5</v>
      </c>
      <c r="J273" s="114">
        <f>SUM(J274+J277+J287+J297)</f>
        <v>27335.199999999997</v>
      </c>
      <c r="K273" s="114">
        <f>SUM(K274+K277+K287+K297)</f>
        <v>27459.100000000002</v>
      </c>
    </row>
    <row r="274" spans="1:11" ht="26.25" customHeight="1" outlineLevel="5">
      <c r="A274" s="75" t="s">
        <v>87</v>
      </c>
      <c r="B274" s="76" t="s">
        <v>39</v>
      </c>
      <c r="C274" s="76" t="s">
        <v>88</v>
      </c>
      <c r="D274" s="76"/>
      <c r="E274" s="77"/>
      <c r="F274" s="78"/>
      <c r="G274" s="47">
        <f aca="true" t="shared" si="13" ref="G274:K275">SUM(G275)</f>
        <v>0</v>
      </c>
      <c r="H274" s="114">
        <f t="shared" si="13"/>
        <v>4000</v>
      </c>
      <c r="I274" s="114">
        <f t="shared" si="13"/>
        <v>0</v>
      </c>
      <c r="J274" s="114">
        <f t="shared" si="13"/>
        <v>4000</v>
      </c>
      <c r="K274" s="114">
        <f t="shared" si="13"/>
        <v>4000</v>
      </c>
    </row>
    <row r="275" spans="1:11" ht="24" customHeight="1" outlineLevel="5">
      <c r="A275" s="75" t="s">
        <v>160</v>
      </c>
      <c r="B275" s="76" t="s">
        <v>39</v>
      </c>
      <c r="C275" s="76" t="s">
        <v>88</v>
      </c>
      <c r="D275" s="76" t="s">
        <v>16</v>
      </c>
      <c r="E275" s="77">
        <v>0</v>
      </c>
      <c r="F275" s="78"/>
      <c r="G275" s="47">
        <f t="shared" si="13"/>
        <v>0</v>
      </c>
      <c r="H275" s="114">
        <f t="shared" si="13"/>
        <v>4000</v>
      </c>
      <c r="I275" s="114">
        <f t="shared" si="13"/>
        <v>0</v>
      </c>
      <c r="J275" s="114">
        <f t="shared" si="13"/>
        <v>4000</v>
      </c>
      <c r="K275" s="114">
        <f t="shared" si="13"/>
        <v>4000</v>
      </c>
    </row>
    <row r="276" spans="1:11" ht="15.75" outlineLevel="5">
      <c r="A276" s="75" t="s">
        <v>162</v>
      </c>
      <c r="B276" s="76" t="s">
        <v>39</v>
      </c>
      <c r="C276" s="76" t="s">
        <v>88</v>
      </c>
      <c r="D276" s="76" t="s">
        <v>16</v>
      </c>
      <c r="E276" s="77">
        <v>0</v>
      </c>
      <c r="F276" s="78">
        <v>300</v>
      </c>
      <c r="G276" s="47"/>
      <c r="H276" s="114">
        <f>3200+800+230-230</f>
        <v>4000</v>
      </c>
      <c r="I276" s="114"/>
      <c r="J276" s="114">
        <f>4000+230-230</f>
        <v>4000</v>
      </c>
      <c r="K276" s="114">
        <f>4000+230-230</f>
        <v>4000</v>
      </c>
    </row>
    <row r="277" spans="1:11" ht="18.75" customHeight="1" outlineLevel="5">
      <c r="A277" s="75" t="s">
        <v>89</v>
      </c>
      <c r="B277" s="76" t="s">
        <v>39</v>
      </c>
      <c r="C277" s="76" t="s">
        <v>91</v>
      </c>
      <c r="D277" s="76"/>
      <c r="E277" s="77"/>
      <c r="F277" s="78"/>
      <c r="G277" s="47">
        <f>SUM(G278+G280)</f>
        <v>-2898.4770000000003</v>
      </c>
      <c r="H277" s="114">
        <f>SUM(H278+H280)</f>
        <v>14338.312</v>
      </c>
      <c r="I277" s="114">
        <f>SUM(I278+I280)</f>
        <v>-3620.1769999999997</v>
      </c>
      <c r="J277" s="114">
        <f>SUM(J278+J280)</f>
        <v>13616.612</v>
      </c>
      <c r="K277" s="114">
        <f>SUM(K278+K280)</f>
        <v>13715.012</v>
      </c>
    </row>
    <row r="278" spans="1:11" ht="58.5" customHeight="1" outlineLevel="5">
      <c r="A278" s="75" t="s">
        <v>278</v>
      </c>
      <c r="B278" s="76" t="s">
        <v>39</v>
      </c>
      <c r="C278" s="76" t="s">
        <v>91</v>
      </c>
      <c r="D278" s="76" t="s">
        <v>7</v>
      </c>
      <c r="E278" s="77">
        <v>0</v>
      </c>
      <c r="F278" s="78"/>
      <c r="G278" s="47">
        <f>SUM(G279)</f>
        <v>400</v>
      </c>
      <c r="H278" s="114">
        <f>SUM(H279)</f>
        <v>500</v>
      </c>
      <c r="I278" s="114">
        <f>SUM(I279)</f>
        <v>0</v>
      </c>
      <c r="J278" s="114">
        <f>SUM(J279)</f>
        <v>100</v>
      </c>
      <c r="K278" s="114">
        <f>SUM(K279)</f>
        <v>100</v>
      </c>
    </row>
    <row r="279" spans="1:11" ht="18.75" customHeight="1" outlineLevel="5">
      <c r="A279" s="75" t="s">
        <v>162</v>
      </c>
      <c r="B279" s="76" t="s">
        <v>39</v>
      </c>
      <c r="C279" s="76" t="s">
        <v>91</v>
      </c>
      <c r="D279" s="76" t="s">
        <v>7</v>
      </c>
      <c r="E279" s="77">
        <v>0</v>
      </c>
      <c r="F279" s="78">
        <v>300</v>
      </c>
      <c r="G279" s="47">
        <v>400</v>
      </c>
      <c r="H279" s="114">
        <f>100+400</f>
        <v>500</v>
      </c>
      <c r="I279" s="114"/>
      <c r="J279" s="114">
        <f>100</f>
        <v>100</v>
      </c>
      <c r="K279" s="114">
        <f>100</f>
        <v>100</v>
      </c>
    </row>
    <row r="280" spans="1:11" ht="24.75" customHeight="1">
      <c r="A280" s="75" t="s">
        <v>160</v>
      </c>
      <c r="B280" s="76" t="s">
        <v>39</v>
      </c>
      <c r="C280" s="76" t="s">
        <v>91</v>
      </c>
      <c r="D280" s="76" t="s">
        <v>16</v>
      </c>
      <c r="E280" s="77">
        <v>0</v>
      </c>
      <c r="F280" s="78"/>
      <c r="G280" s="47">
        <f>SUM(G281+G284+G285+G286)</f>
        <v>-3298.4770000000003</v>
      </c>
      <c r="H280" s="114">
        <f>SUM(H281+H284+H285+H286)</f>
        <v>13838.312</v>
      </c>
      <c r="I280" s="114">
        <f>SUM(I281+I284+I285+I286)</f>
        <v>-3620.1769999999997</v>
      </c>
      <c r="J280" s="114">
        <f>SUM(J281+J284+J285+J286)</f>
        <v>13516.612</v>
      </c>
      <c r="K280" s="114">
        <f>SUM(K281+K284+K285+K286)</f>
        <v>13615.012</v>
      </c>
    </row>
    <row r="281" spans="1:11" ht="84">
      <c r="A281" s="75" t="s">
        <v>108</v>
      </c>
      <c r="B281" s="76" t="s">
        <v>39</v>
      </c>
      <c r="C281" s="76" t="s">
        <v>91</v>
      </c>
      <c r="D281" s="76" t="s">
        <v>16</v>
      </c>
      <c r="E281" s="77">
        <v>0</v>
      </c>
      <c r="F281" s="78"/>
      <c r="G281" s="47">
        <f>SUM(G282:G283)</f>
        <v>-2703.077</v>
      </c>
      <c r="H281" s="114">
        <f>SUM(H282:H283)</f>
        <v>9954.912</v>
      </c>
      <c r="I281" s="114">
        <f>SUM(I282:I283)</f>
        <v>-2703.077</v>
      </c>
      <c r="J281" s="114">
        <f>SUM(J282:J283)</f>
        <v>9954.912</v>
      </c>
      <c r="K281" s="114">
        <f>SUM(K282:K283)</f>
        <v>9954.912</v>
      </c>
    </row>
    <row r="282" spans="1:11" ht="15.75">
      <c r="A282" s="75" t="s">
        <v>162</v>
      </c>
      <c r="B282" s="76" t="s">
        <v>39</v>
      </c>
      <c r="C282" s="76" t="s">
        <v>91</v>
      </c>
      <c r="D282" s="76" t="s">
        <v>16</v>
      </c>
      <c r="E282" s="77">
        <v>0</v>
      </c>
      <c r="F282" s="78">
        <v>300</v>
      </c>
      <c r="G282" s="47">
        <v>-2676.32</v>
      </c>
      <c r="H282" s="114">
        <f>8069.299+4508-44.63-2676.32</f>
        <v>9856.349</v>
      </c>
      <c r="I282" s="114">
        <v>-2676.32</v>
      </c>
      <c r="J282" s="114">
        <f>8069.299+4508-44.63-2676.32</f>
        <v>9856.349</v>
      </c>
      <c r="K282" s="114">
        <f>8069.299+4508-44.63-2676.32</f>
        <v>9856.349</v>
      </c>
    </row>
    <row r="283" spans="1:11" ht="28.5" customHeight="1">
      <c r="A283" s="75" t="s">
        <v>104</v>
      </c>
      <c r="B283" s="76" t="s">
        <v>39</v>
      </c>
      <c r="C283" s="76" t="s">
        <v>91</v>
      </c>
      <c r="D283" s="76" t="s">
        <v>16</v>
      </c>
      <c r="E283" s="77">
        <v>0</v>
      </c>
      <c r="F283" s="78">
        <v>200</v>
      </c>
      <c r="G283" s="47">
        <v>-26.757</v>
      </c>
      <c r="H283" s="114">
        <f>80.69+44.63-26.757</f>
        <v>98.56299999999999</v>
      </c>
      <c r="I283" s="114">
        <v>-26.757</v>
      </c>
      <c r="J283" s="114">
        <f>80.69+44.63-26.757</f>
        <v>98.56299999999999</v>
      </c>
      <c r="K283" s="114">
        <f>80.69+44.63-26.757</f>
        <v>98.56299999999999</v>
      </c>
    </row>
    <row r="284" spans="1:11" ht="75" customHeight="1">
      <c r="A284" s="75" t="s">
        <v>109</v>
      </c>
      <c r="B284" s="76" t="s">
        <v>39</v>
      </c>
      <c r="C284" s="76" t="s">
        <v>91</v>
      </c>
      <c r="D284" s="76" t="s">
        <v>16</v>
      </c>
      <c r="E284" s="77">
        <v>0</v>
      </c>
      <c r="F284" s="78">
        <v>300</v>
      </c>
      <c r="G284" s="47">
        <v>-245.2</v>
      </c>
      <c r="H284" s="114">
        <f>1067.7+288.9-245.2</f>
        <v>1111.3999999999999</v>
      </c>
      <c r="I284" s="114">
        <v>-245.2</v>
      </c>
      <c r="J284" s="114">
        <f>1356.6-245.2</f>
        <v>1111.3999999999999</v>
      </c>
      <c r="K284" s="114">
        <v>1111.4</v>
      </c>
    </row>
    <row r="285" spans="1:11" ht="63.75" customHeight="1">
      <c r="A285" s="75" t="s">
        <v>110</v>
      </c>
      <c r="B285" s="76" t="s">
        <v>39</v>
      </c>
      <c r="C285" s="76" t="s">
        <v>91</v>
      </c>
      <c r="D285" s="76" t="s">
        <v>16</v>
      </c>
      <c r="E285" s="77">
        <v>0</v>
      </c>
      <c r="F285" s="78">
        <v>300</v>
      </c>
      <c r="G285" s="47">
        <v>13.7</v>
      </c>
      <c r="H285" s="114">
        <f>22.5+1+13.7</f>
        <v>37.2</v>
      </c>
      <c r="I285" s="114">
        <v>9.4</v>
      </c>
      <c r="J285" s="114">
        <f>23.5+9.4</f>
        <v>32.9</v>
      </c>
      <c r="K285" s="114">
        <v>34.2</v>
      </c>
    </row>
    <row r="286" spans="1:11" ht="60.75" customHeight="1">
      <c r="A286" s="75" t="s">
        <v>111</v>
      </c>
      <c r="B286" s="76" t="s">
        <v>39</v>
      </c>
      <c r="C286" s="76" t="s">
        <v>91</v>
      </c>
      <c r="D286" s="76" t="s">
        <v>16</v>
      </c>
      <c r="E286" s="77">
        <v>0</v>
      </c>
      <c r="F286" s="78">
        <v>300</v>
      </c>
      <c r="G286" s="47">
        <v>-363.9</v>
      </c>
      <c r="H286" s="114">
        <f>3024+74.7-363.9</f>
        <v>2734.7999999999997</v>
      </c>
      <c r="I286" s="114">
        <v>-681.3</v>
      </c>
      <c r="J286" s="114">
        <f>3098.7-681.3</f>
        <v>2417.3999999999996</v>
      </c>
      <c r="K286" s="114">
        <v>2514.5</v>
      </c>
    </row>
    <row r="287" spans="1:11" ht="24" customHeight="1">
      <c r="A287" s="75" t="s">
        <v>90</v>
      </c>
      <c r="B287" s="76" t="s">
        <v>39</v>
      </c>
      <c r="C287" s="76" t="s">
        <v>92</v>
      </c>
      <c r="D287" s="76"/>
      <c r="E287" s="77"/>
      <c r="F287" s="78"/>
      <c r="G287" s="47">
        <f>SUM(G290+G288)</f>
        <v>123.30000000000007</v>
      </c>
      <c r="H287" s="114">
        <f>SUM(H290+H288)</f>
        <v>8774.9</v>
      </c>
      <c r="I287" s="114">
        <f>SUM(I290+I288)</f>
        <v>-202.30000000000007</v>
      </c>
      <c r="J287" s="114">
        <f>SUM(J290+J288)</f>
        <v>8691.199999999999</v>
      </c>
      <c r="K287" s="114">
        <f>SUM(K290+K288)</f>
        <v>8716.7</v>
      </c>
    </row>
    <row r="288" spans="1:11" ht="24" customHeight="1" hidden="1">
      <c r="A288" s="75" t="s">
        <v>266</v>
      </c>
      <c r="B288" s="76" t="s">
        <v>39</v>
      </c>
      <c r="C288" s="76" t="s">
        <v>92</v>
      </c>
      <c r="D288" s="76" t="s">
        <v>267</v>
      </c>
      <c r="E288" s="77">
        <v>0</v>
      </c>
      <c r="F288" s="78"/>
      <c r="G288" s="47">
        <f>SUM(G289)</f>
        <v>0</v>
      </c>
      <c r="H288" s="114">
        <f>SUM(H289)</f>
        <v>0</v>
      </c>
      <c r="I288" s="114">
        <f>SUM(I289)</f>
        <v>0</v>
      </c>
      <c r="J288" s="114">
        <f>SUM(J289)</f>
        <v>0</v>
      </c>
      <c r="K288" s="114">
        <f>SUM(K289)</f>
        <v>0</v>
      </c>
    </row>
    <row r="289" spans="1:11" ht="18" customHeight="1" hidden="1">
      <c r="A289" s="75" t="s">
        <v>162</v>
      </c>
      <c r="B289" s="76" t="s">
        <v>39</v>
      </c>
      <c r="C289" s="76" t="s">
        <v>92</v>
      </c>
      <c r="D289" s="76" t="s">
        <v>267</v>
      </c>
      <c r="E289" s="77">
        <v>0</v>
      </c>
      <c r="F289" s="78">
        <v>300</v>
      </c>
      <c r="G289" s="47"/>
      <c r="H289" s="114">
        <v>0</v>
      </c>
      <c r="I289" s="114">
        <v>0</v>
      </c>
      <c r="J289" s="114">
        <v>0</v>
      </c>
      <c r="K289" s="114">
        <v>0</v>
      </c>
    </row>
    <row r="290" spans="1:11" ht="27.75" customHeight="1">
      <c r="A290" s="75" t="s">
        <v>160</v>
      </c>
      <c r="B290" s="76" t="s">
        <v>39</v>
      </c>
      <c r="C290" s="76" t="s">
        <v>92</v>
      </c>
      <c r="D290" s="76" t="s">
        <v>16</v>
      </c>
      <c r="E290" s="77">
        <v>0</v>
      </c>
      <c r="F290" s="78"/>
      <c r="G290" s="47">
        <f>SUM(G291+G294)</f>
        <v>123.30000000000007</v>
      </c>
      <c r="H290" s="114">
        <f>SUM(H291+H294)</f>
        <v>8774.9</v>
      </c>
      <c r="I290" s="114">
        <f>SUM(I291+I294)</f>
        <v>-202.30000000000007</v>
      </c>
      <c r="J290" s="114">
        <f>SUM(J291+J294)</f>
        <v>8691.199999999999</v>
      </c>
      <c r="K290" s="114">
        <f>SUM(K291+K294)</f>
        <v>8716.7</v>
      </c>
    </row>
    <row r="291" spans="1:11" ht="48.75" customHeight="1">
      <c r="A291" s="75" t="s">
        <v>112</v>
      </c>
      <c r="B291" s="76" t="s">
        <v>39</v>
      </c>
      <c r="C291" s="76" t="s">
        <v>92</v>
      </c>
      <c r="D291" s="76" t="s">
        <v>16</v>
      </c>
      <c r="E291" s="77">
        <v>0</v>
      </c>
      <c r="F291" s="78"/>
      <c r="G291" s="47">
        <f>SUM(G292:G293)</f>
        <v>-619.1</v>
      </c>
      <c r="H291" s="114">
        <f>SUM(H292:H293)</f>
        <v>721.1999999999999</v>
      </c>
      <c r="I291" s="114">
        <f>SUM(I292:I293)</f>
        <v>-702.8000000000001</v>
      </c>
      <c r="J291" s="114">
        <f>SUM(J292:J293)</f>
        <v>637.4999999999999</v>
      </c>
      <c r="K291" s="114">
        <f>SUM(K292:K293)</f>
        <v>663</v>
      </c>
    </row>
    <row r="292" spans="1:11" ht="14.25" customHeight="1">
      <c r="A292" s="75" t="s">
        <v>162</v>
      </c>
      <c r="B292" s="76" t="s">
        <v>39</v>
      </c>
      <c r="C292" s="76" t="s">
        <v>92</v>
      </c>
      <c r="D292" s="76" t="s">
        <v>16</v>
      </c>
      <c r="E292" s="77">
        <v>0</v>
      </c>
      <c r="F292" s="78">
        <v>300</v>
      </c>
      <c r="G292" s="47">
        <v>-612.97</v>
      </c>
      <c r="H292" s="114">
        <f>1327.03-612.97</f>
        <v>714.06</v>
      </c>
      <c r="I292" s="114">
        <v>-695.84</v>
      </c>
      <c r="J292" s="114">
        <f>1327.03-695.84</f>
        <v>631.1899999999999</v>
      </c>
      <c r="K292" s="114">
        <v>656.44</v>
      </c>
    </row>
    <row r="293" spans="1:11" ht="23.25" customHeight="1">
      <c r="A293" s="75" t="s">
        <v>104</v>
      </c>
      <c r="B293" s="76" t="s">
        <v>39</v>
      </c>
      <c r="C293" s="76" t="s">
        <v>92</v>
      </c>
      <c r="D293" s="76" t="s">
        <v>16</v>
      </c>
      <c r="E293" s="77">
        <v>0</v>
      </c>
      <c r="F293" s="78">
        <v>200</v>
      </c>
      <c r="G293" s="47">
        <v>-6.13</v>
      </c>
      <c r="H293" s="114">
        <f>13.27-6.13</f>
        <v>7.14</v>
      </c>
      <c r="I293" s="114">
        <v>-6.96</v>
      </c>
      <c r="J293" s="114">
        <f>13.27-6.96</f>
        <v>6.31</v>
      </c>
      <c r="K293" s="114">
        <v>6.56</v>
      </c>
    </row>
    <row r="294" spans="1:11" ht="96">
      <c r="A294" s="75" t="s">
        <v>242</v>
      </c>
      <c r="B294" s="76" t="s">
        <v>39</v>
      </c>
      <c r="C294" s="76" t="s">
        <v>92</v>
      </c>
      <c r="D294" s="76" t="s">
        <v>16</v>
      </c>
      <c r="E294" s="77">
        <v>0</v>
      </c>
      <c r="F294" s="78"/>
      <c r="G294" s="47">
        <f>SUM(G295:G296)</f>
        <v>742.4000000000001</v>
      </c>
      <c r="H294" s="114">
        <f>SUM(H295:H296)</f>
        <v>8053.7</v>
      </c>
      <c r="I294" s="114">
        <f>SUM(I295:I296)</f>
        <v>500.5</v>
      </c>
      <c r="J294" s="114">
        <f>SUM(J295:J296)</f>
        <v>8053.7</v>
      </c>
      <c r="K294" s="114">
        <f>SUM(K295:K296)</f>
        <v>8053.7</v>
      </c>
    </row>
    <row r="295" spans="1:11" ht="15.75">
      <c r="A295" s="75" t="s">
        <v>113</v>
      </c>
      <c r="B295" s="76" t="s">
        <v>39</v>
      </c>
      <c r="C295" s="76" t="s">
        <v>92</v>
      </c>
      <c r="D295" s="76" t="s">
        <v>16</v>
      </c>
      <c r="E295" s="77">
        <v>0</v>
      </c>
      <c r="F295" s="78">
        <v>300</v>
      </c>
      <c r="G295" s="47">
        <v>298.8</v>
      </c>
      <c r="H295" s="114">
        <f>5437+557.2+298.8</f>
        <v>6293</v>
      </c>
      <c r="I295" s="114">
        <v>59</v>
      </c>
      <c r="J295" s="114">
        <f>6234+59</f>
        <v>6293</v>
      </c>
      <c r="K295" s="114">
        <v>6293</v>
      </c>
    </row>
    <row r="296" spans="1:11" ht="26.25" customHeight="1">
      <c r="A296" s="75" t="s">
        <v>114</v>
      </c>
      <c r="B296" s="76" t="s">
        <v>39</v>
      </c>
      <c r="C296" s="76" t="s">
        <v>92</v>
      </c>
      <c r="D296" s="76" t="s">
        <v>16</v>
      </c>
      <c r="E296" s="77">
        <v>0</v>
      </c>
      <c r="F296" s="78">
        <v>300</v>
      </c>
      <c r="G296" s="47">
        <v>443.6</v>
      </c>
      <c r="H296" s="114">
        <f>649+668.1+443.6</f>
        <v>1760.6999999999998</v>
      </c>
      <c r="I296" s="114">
        <v>441.5</v>
      </c>
      <c r="J296" s="114">
        <f>1319.2+441.5</f>
        <v>1760.7</v>
      </c>
      <c r="K296" s="114">
        <v>1760.7</v>
      </c>
    </row>
    <row r="297" spans="1:11" ht="15.75">
      <c r="A297" s="75" t="s">
        <v>235</v>
      </c>
      <c r="B297" s="76" t="s">
        <v>39</v>
      </c>
      <c r="C297" s="76" t="s">
        <v>234</v>
      </c>
      <c r="D297" s="76"/>
      <c r="E297" s="77"/>
      <c r="F297" s="78"/>
      <c r="G297" s="47">
        <f aca="true" t="shared" si="14" ref="G297:K298">SUM(G298)</f>
        <v>-77.023</v>
      </c>
      <c r="H297" s="114">
        <f t="shared" si="14"/>
        <v>1027.388</v>
      </c>
      <c r="I297" s="114">
        <f t="shared" si="14"/>
        <v>-77.023</v>
      </c>
      <c r="J297" s="114">
        <f t="shared" si="14"/>
        <v>1027.388</v>
      </c>
      <c r="K297" s="114">
        <f t="shared" si="14"/>
        <v>1027.388</v>
      </c>
    </row>
    <row r="298" spans="1:11" ht="24">
      <c r="A298" s="75" t="s">
        <v>160</v>
      </c>
      <c r="B298" s="76" t="s">
        <v>39</v>
      </c>
      <c r="C298" s="76" t="s">
        <v>234</v>
      </c>
      <c r="D298" s="76" t="s">
        <v>16</v>
      </c>
      <c r="E298" s="77">
        <v>0</v>
      </c>
      <c r="F298" s="78"/>
      <c r="G298" s="47">
        <f t="shared" si="14"/>
        <v>-77.023</v>
      </c>
      <c r="H298" s="114">
        <f t="shared" si="14"/>
        <v>1027.388</v>
      </c>
      <c r="I298" s="114">
        <f t="shared" si="14"/>
        <v>-77.023</v>
      </c>
      <c r="J298" s="114">
        <f t="shared" si="14"/>
        <v>1027.388</v>
      </c>
      <c r="K298" s="114">
        <f t="shared" si="14"/>
        <v>1027.388</v>
      </c>
    </row>
    <row r="299" spans="1:11" ht="84">
      <c r="A299" s="75" t="s">
        <v>108</v>
      </c>
      <c r="B299" s="76" t="s">
        <v>39</v>
      </c>
      <c r="C299" s="76" t="s">
        <v>234</v>
      </c>
      <c r="D299" s="76" t="s">
        <v>16</v>
      </c>
      <c r="E299" s="77">
        <v>0</v>
      </c>
      <c r="F299" s="78"/>
      <c r="G299" s="47">
        <f>SUM(G300:G301)</f>
        <v>-77.023</v>
      </c>
      <c r="H299" s="114">
        <f>SUM(H300:H301)</f>
        <v>1027.388</v>
      </c>
      <c r="I299" s="114">
        <f>SUM(I300:I301)</f>
        <v>-77.023</v>
      </c>
      <c r="J299" s="114">
        <f>SUM(J300:J301)</f>
        <v>1027.388</v>
      </c>
      <c r="K299" s="114">
        <f>SUM(K300:K301)</f>
        <v>1027.388</v>
      </c>
    </row>
    <row r="300" spans="1:11" ht="43.5" customHeight="1">
      <c r="A300" s="75" t="s">
        <v>103</v>
      </c>
      <c r="B300" s="76" t="s">
        <v>39</v>
      </c>
      <c r="C300" s="76" t="s">
        <v>234</v>
      </c>
      <c r="D300" s="76" t="s">
        <v>16</v>
      </c>
      <c r="E300" s="77">
        <v>0</v>
      </c>
      <c r="F300" s="78">
        <v>100</v>
      </c>
      <c r="G300" s="47"/>
      <c r="H300" s="114">
        <f>900+36</f>
        <v>936</v>
      </c>
      <c r="I300" s="114"/>
      <c r="J300" s="114">
        <v>936</v>
      </c>
      <c r="K300" s="114">
        <v>936</v>
      </c>
    </row>
    <row r="301" spans="1:11" ht="25.5" customHeight="1">
      <c r="A301" s="75" t="s">
        <v>104</v>
      </c>
      <c r="B301" s="76" t="s">
        <v>39</v>
      </c>
      <c r="C301" s="76" t="s">
        <v>234</v>
      </c>
      <c r="D301" s="76" t="s">
        <v>16</v>
      </c>
      <c r="E301" s="77">
        <v>0</v>
      </c>
      <c r="F301" s="78">
        <v>200</v>
      </c>
      <c r="G301" s="47">
        <v>-77.023</v>
      </c>
      <c r="H301" s="114">
        <f>204.411-36-77.023</f>
        <v>91.388</v>
      </c>
      <c r="I301" s="114">
        <v>-77.023</v>
      </c>
      <c r="J301" s="114">
        <f>168.411-77.023</f>
        <v>91.388</v>
      </c>
      <c r="K301" s="114">
        <v>91.388</v>
      </c>
    </row>
    <row r="302" spans="1:11" ht="20.25" customHeight="1">
      <c r="A302" s="75" t="s">
        <v>93</v>
      </c>
      <c r="B302" s="76" t="s">
        <v>39</v>
      </c>
      <c r="C302" s="76" t="s">
        <v>142</v>
      </c>
      <c r="D302" s="76"/>
      <c r="E302" s="77"/>
      <c r="F302" s="78"/>
      <c r="G302" s="47">
        <f>SUM(G311+G307+G303)</f>
        <v>0</v>
      </c>
      <c r="H302" s="114">
        <f>SUM(H311+H307+H303)</f>
        <v>500</v>
      </c>
      <c r="I302" s="114">
        <f>SUM(I311+I307+I303)</f>
        <v>0</v>
      </c>
      <c r="J302" s="114">
        <f>SUM(J311+J307+J303)</f>
        <v>500</v>
      </c>
      <c r="K302" s="114">
        <f>SUM(K311+K307+K303)</f>
        <v>500</v>
      </c>
    </row>
    <row r="303" spans="1:11" ht="20.25" customHeight="1" hidden="1">
      <c r="A303" s="75" t="s">
        <v>302</v>
      </c>
      <c r="B303" s="76" t="s">
        <v>39</v>
      </c>
      <c r="C303" s="76" t="s">
        <v>222</v>
      </c>
      <c r="D303" s="76"/>
      <c r="E303" s="77"/>
      <c r="F303" s="78"/>
      <c r="G303" s="47">
        <f>SUM(G304)</f>
        <v>0</v>
      </c>
      <c r="H303" s="114">
        <f>SUM(H304)</f>
        <v>0</v>
      </c>
      <c r="I303" s="114">
        <f>SUM(I304)</f>
        <v>0</v>
      </c>
      <c r="J303" s="114">
        <f>SUM(J304)</f>
        <v>0</v>
      </c>
      <c r="K303" s="114">
        <f>SUM(K304)</f>
        <v>0</v>
      </c>
    </row>
    <row r="304" spans="1:11" ht="20.25" customHeight="1" hidden="1">
      <c r="A304" s="75" t="s">
        <v>298</v>
      </c>
      <c r="B304" s="76" t="s">
        <v>39</v>
      </c>
      <c r="C304" s="76" t="s">
        <v>222</v>
      </c>
      <c r="D304" s="76" t="s">
        <v>12</v>
      </c>
      <c r="E304" s="77">
        <v>0</v>
      </c>
      <c r="F304" s="78"/>
      <c r="G304" s="47">
        <f>SUM(G305:G306)</f>
        <v>0</v>
      </c>
      <c r="H304" s="114">
        <f>SUM(H305:H306)</f>
        <v>0</v>
      </c>
      <c r="I304" s="114">
        <f>SUM(I305:I306)</f>
        <v>0</v>
      </c>
      <c r="J304" s="114">
        <f>SUM(J305:J306)</f>
        <v>0</v>
      </c>
      <c r="K304" s="114">
        <f>SUM(K305:K306)</f>
        <v>0</v>
      </c>
    </row>
    <row r="305" spans="1:11" ht="20.25" customHeight="1" hidden="1">
      <c r="A305" s="75" t="s">
        <v>312</v>
      </c>
      <c r="B305" s="76" t="s">
        <v>39</v>
      </c>
      <c r="C305" s="76" t="s">
        <v>222</v>
      </c>
      <c r="D305" s="76" t="s">
        <v>12</v>
      </c>
      <c r="E305" s="77">
        <v>0</v>
      </c>
      <c r="F305" s="78">
        <v>400</v>
      </c>
      <c r="G305" s="47"/>
      <c r="H305" s="114">
        <v>0</v>
      </c>
      <c r="I305" s="114"/>
      <c r="J305" s="114">
        <v>0</v>
      </c>
      <c r="K305" s="114">
        <v>0</v>
      </c>
    </row>
    <row r="306" spans="1:11" ht="20.25" customHeight="1" hidden="1">
      <c r="A306" s="75" t="s">
        <v>299</v>
      </c>
      <c r="B306" s="76" t="s">
        <v>39</v>
      </c>
      <c r="C306" s="76" t="s">
        <v>222</v>
      </c>
      <c r="D306" s="76" t="s">
        <v>12</v>
      </c>
      <c r="E306" s="77">
        <v>0</v>
      </c>
      <c r="F306" s="78">
        <v>400</v>
      </c>
      <c r="G306" s="47"/>
      <c r="H306" s="114">
        <v>0</v>
      </c>
      <c r="I306" s="114"/>
      <c r="J306" s="114">
        <v>0</v>
      </c>
      <c r="K306" s="114">
        <v>0</v>
      </c>
    </row>
    <row r="307" spans="1:11" ht="18" customHeight="1" hidden="1">
      <c r="A307" s="75" t="s">
        <v>296</v>
      </c>
      <c r="B307" s="76" t="s">
        <v>39</v>
      </c>
      <c r="C307" s="76" t="s">
        <v>295</v>
      </c>
      <c r="D307" s="76"/>
      <c r="E307" s="77"/>
      <c r="F307" s="78"/>
      <c r="G307" s="47">
        <f>SUM(G308)</f>
        <v>0</v>
      </c>
      <c r="H307" s="114">
        <f>SUM(H308)</f>
        <v>0</v>
      </c>
      <c r="I307" s="114">
        <f>SUM(I308)</f>
        <v>0</v>
      </c>
      <c r="J307" s="114">
        <f>SUM(J308)</f>
        <v>0</v>
      </c>
      <c r="K307" s="114">
        <f>SUM(K308)</f>
        <v>0</v>
      </c>
    </row>
    <row r="308" spans="1:11" ht="29.25" customHeight="1" hidden="1">
      <c r="A308" s="75" t="s">
        <v>258</v>
      </c>
      <c r="B308" s="76" t="s">
        <v>39</v>
      </c>
      <c r="C308" s="76" t="s">
        <v>295</v>
      </c>
      <c r="D308" s="76" t="s">
        <v>18</v>
      </c>
      <c r="E308" s="77">
        <v>0</v>
      </c>
      <c r="F308" s="78"/>
      <c r="G308" s="47">
        <f>SUM(G309:G310)</f>
        <v>0</v>
      </c>
      <c r="H308" s="114">
        <f>SUM(H309:H310)</f>
        <v>0</v>
      </c>
      <c r="I308" s="114">
        <f>SUM(I309:I310)</f>
        <v>0</v>
      </c>
      <c r="J308" s="114">
        <f>SUM(J309:J310)</f>
        <v>0</v>
      </c>
      <c r="K308" s="114">
        <f>SUM(K309:K310)</f>
        <v>0</v>
      </c>
    </row>
    <row r="309" spans="1:11" ht="29.25" customHeight="1" hidden="1">
      <c r="A309" s="75" t="s">
        <v>315</v>
      </c>
      <c r="B309" s="76" t="s">
        <v>39</v>
      </c>
      <c r="C309" s="76" t="s">
        <v>295</v>
      </c>
      <c r="D309" s="76" t="s">
        <v>18</v>
      </c>
      <c r="E309" s="77">
        <v>0</v>
      </c>
      <c r="F309" s="78">
        <v>400</v>
      </c>
      <c r="G309" s="47"/>
      <c r="H309" s="114">
        <v>0</v>
      </c>
      <c r="I309" s="114"/>
      <c r="J309" s="114">
        <v>0</v>
      </c>
      <c r="K309" s="114">
        <v>0</v>
      </c>
    </row>
    <row r="310" spans="1:11" ht="26.25" customHeight="1" hidden="1">
      <c r="A310" s="75" t="s">
        <v>164</v>
      </c>
      <c r="B310" s="76" t="s">
        <v>39</v>
      </c>
      <c r="C310" s="76" t="s">
        <v>295</v>
      </c>
      <c r="D310" s="76" t="s">
        <v>18</v>
      </c>
      <c r="E310" s="77">
        <v>0</v>
      </c>
      <c r="F310" s="78">
        <v>400</v>
      </c>
      <c r="G310" s="47"/>
      <c r="H310" s="114">
        <v>0</v>
      </c>
      <c r="I310" s="114"/>
      <c r="J310" s="114">
        <v>0</v>
      </c>
      <c r="K310" s="114">
        <v>0</v>
      </c>
    </row>
    <row r="311" spans="1:11" ht="15.75">
      <c r="A311" s="75" t="s">
        <v>223</v>
      </c>
      <c r="B311" s="76" t="s">
        <v>39</v>
      </c>
      <c r="C311" s="76" t="s">
        <v>94</v>
      </c>
      <c r="D311" s="76"/>
      <c r="E311" s="77"/>
      <c r="F311" s="78"/>
      <c r="G311" s="47">
        <f aca="true" t="shared" si="15" ref="G311:K312">SUM(G312)</f>
        <v>0</v>
      </c>
      <c r="H311" s="114">
        <f t="shared" si="15"/>
        <v>500</v>
      </c>
      <c r="I311" s="114">
        <f t="shared" si="15"/>
        <v>0</v>
      </c>
      <c r="J311" s="114">
        <f t="shared" si="15"/>
        <v>500</v>
      </c>
      <c r="K311" s="114">
        <f t="shared" si="15"/>
        <v>500</v>
      </c>
    </row>
    <row r="312" spans="1:11" ht="24">
      <c r="A312" s="75" t="s">
        <v>258</v>
      </c>
      <c r="B312" s="76" t="s">
        <v>39</v>
      </c>
      <c r="C312" s="76" t="s">
        <v>94</v>
      </c>
      <c r="D312" s="76" t="s">
        <v>18</v>
      </c>
      <c r="E312" s="77">
        <v>0</v>
      </c>
      <c r="F312" s="78"/>
      <c r="G312" s="47">
        <f t="shared" si="15"/>
        <v>0</v>
      </c>
      <c r="H312" s="114">
        <f t="shared" si="15"/>
        <v>500</v>
      </c>
      <c r="I312" s="114">
        <f t="shared" si="15"/>
        <v>0</v>
      </c>
      <c r="J312" s="114">
        <f t="shared" si="15"/>
        <v>500</v>
      </c>
      <c r="K312" s="114">
        <f t="shared" si="15"/>
        <v>500</v>
      </c>
    </row>
    <row r="313" spans="1:11" ht="24" customHeight="1">
      <c r="A313" s="75" t="s">
        <v>104</v>
      </c>
      <c r="B313" s="76" t="s">
        <v>39</v>
      </c>
      <c r="C313" s="76" t="s">
        <v>94</v>
      </c>
      <c r="D313" s="76" t="s">
        <v>18</v>
      </c>
      <c r="E313" s="77">
        <v>0</v>
      </c>
      <c r="F313" s="78">
        <v>200</v>
      </c>
      <c r="G313" s="47"/>
      <c r="H313" s="114">
        <f>500+10-10</f>
        <v>500</v>
      </c>
      <c r="I313" s="114"/>
      <c r="J313" s="114">
        <f>500+10-10</f>
        <v>500</v>
      </c>
      <c r="K313" s="114">
        <f>500+10-10</f>
        <v>500</v>
      </c>
    </row>
    <row r="314" spans="1:11" ht="15.75">
      <c r="A314" s="75" t="s">
        <v>95</v>
      </c>
      <c r="B314" s="76" t="s">
        <v>39</v>
      </c>
      <c r="C314" s="76" t="s">
        <v>143</v>
      </c>
      <c r="D314" s="76"/>
      <c r="E314" s="77"/>
      <c r="F314" s="78"/>
      <c r="G314" s="47">
        <f>SUM(G316)</f>
        <v>22.1</v>
      </c>
      <c r="H314" s="114">
        <f>SUM(H316)</f>
        <v>2271.5</v>
      </c>
      <c r="I314" s="114">
        <f>SUM(I316)</f>
        <v>22.1</v>
      </c>
      <c r="J314" s="114">
        <f>SUM(J316)</f>
        <v>2271.5</v>
      </c>
      <c r="K314" s="114">
        <f>SUM(K316)</f>
        <v>2271.5</v>
      </c>
    </row>
    <row r="315" spans="1:11" ht="18.75" customHeight="1">
      <c r="A315" s="75" t="s">
        <v>96</v>
      </c>
      <c r="B315" s="76" t="s">
        <v>39</v>
      </c>
      <c r="C315" s="76" t="s">
        <v>97</v>
      </c>
      <c r="D315" s="76"/>
      <c r="E315" s="77"/>
      <c r="F315" s="113"/>
      <c r="G315" s="47">
        <f>SUM(G316)</f>
        <v>22.1</v>
      </c>
      <c r="H315" s="114">
        <f>SUM(H316)</f>
        <v>2271.5</v>
      </c>
      <c r="I315" s="114">
        <f>SUM(I316)</f>
        <v>22.1</v>
      </c>
      <c r="J315" s="114">
        <f>SUM(J316)</f>
        <v>2271.5</v>
      </c>
      <c r="K315" s="114">
        <f>SUM(K316)</f>
        <v>2271.5</v>
      </c>
    </row>
    <row r="316" spans="1:11" ht="24.75" customHeight="1">
      <c r="A316" s="75" t="s">
        <v>273</v>
      </c>
      <c r="B316" s="76" t="s">
        <v>39</v>
      </c>
      <c r="C316" s="76" t="s">
        <v>97</v>
      </c>
      <c r="D316" s="76" t="s">
        <v>146</v>
      </c>
      <c r="E316" s="77">
        <v>0</v>
      </c>
      <c r="F316" s="78"/>
      <c r="G316" s="47">
        <f>SUM(G317:G318)</f>
        <v>22.1</v>
      </c>
      <c r="H316" s="114">
        <f>SUM(H317:H318)</f>
        <v>2271.5</v>
      </c>
      <c r="I316" s="114">
        <f>SUM(I317:I318)</f>
        <v>22.1</v>
      </c>
      <c r="J316" s="114">
        <f>SUM(J317:J318)</f>
        <v>2271.5</v>
      </c>
      <c r="K316" s="114">
        <f>SUM(K317:K318)</f>
        <v>2271.5</v>
      </c>
    </row>
    <row r="317" spans="1:11" ht="24">
      <c r="A317" s="75" t="s">
        <v>161</v>
      </c>
      <c r="B317" s="76" t="s">
        <v>39</v>
      </c>
      <c r="C317" s="76" t="s">
        <v>97</v>
      </c>
      <c r="D317" s="76" t="s">
        <v>146</v>
      </c>
      <c r="E317" s="77">
        <v>0</v>
      </c>
      <c r="F317" s="78">
        <v>600</v>
      </c>
      <c r="G317" s="47"/>
      <c r="H317" s="114">
        <v>1200</v>
      </c>
      <c r="I317" s="114"/>
      <c r="J317" s="114">
        <v>1200</v>
      </c>
      <c r="K317" s="114">
        <v>1200</v>
      </c>
    </row>
    <row r="318" spans="1:11" ht="84">
      <c r="A318" s="75" t="s">
        <v>206</v>
      </c>
      <c r="B318" s="76" t="s">
        <v>39</v>
      </c>
      <c r="C318" s="76" t="s">
        <v>97</v>
      </c>
      <c r="D318" s="76" t="s">
        <v>146</v>
      </c>
      <c r="E318" s="77">
        <v>0</v>
      </c>
      <c r="F318" s="78">
        <v>600</v>
      </c>
      <c r="G318" s="47">
        <v>22.1</v>
      </c>
      <c r="H318" s="114">
        <f>1049.4+22.1</f>
        <v>1071.5</v>
      </c>
      <c r="I318" s="114">
        <v>22.1</v>
      </c>
      <c r="J318" s="114">
        <f>1049.4+22.1</f>
        <v>1071.5</v>
      </c>
      <c r="K318" s="114">
        <f>1071.5</f>
        <v>1071.5</v>
      </c>
    </row>
    <row r="319" spans="1:11" ht="15.75">
      <c r="A319" s="75" t="s">
        <v>98</v>
      </c>
      <c r="B319" s="76" t="s">
        <v>39</v>
      </c>
      <c r="C319" s="76" t="s">
        <v>144</v>
      </c>
      <c r="D319" s="76"/>
      <c r="E319" s="77"/>
      <c r="F319" s="78"/>
      <c r="G319" s="47">
        <f>SUM(G322)</f>
        <v>0</v>
      </c>
      <c r="H319" s="114">
        <f>SUM(H322)</f>
        <v>0</v>
      </c>
      <c r="I319" s="114">
        <f>SUM(I322)</f>
        <v>0</v>
      </c>
      <c r="J319" s="114">
        <f>SUM(J322)</f>
        <v>0</v>
      </c>
      <c r="K319" s="114">
        <f>SUM(K322)</f>
        <v>0</v>
      </c>
    </row>
    <row r="320" spans="1:11" ht="15.75">
      <c r="A320" s="75" t="s">
        <v>172</v>
      </c>
      <c r="B320" s="76" t="s">
        <v>39</v>
      </c>
      <c r="C320" s="76" t="s">
        <v>100</v>
      </c>
      <c r="D320" s="76"/>
      <c r="E320" s="77"/>
      <c r="F320" s="78"/>
      <c r="G320" s="47">
        <f aca="true" t="shared" si="16" ref="G320:K321">SUM(G321)</f>
        <v>0</v>
      </c>
      <c r="H320" s="114">
        <f t="shared" si="16"/>
        <v>0</v>
      </c>
      <c r="I320" s="114">
        <f t="shared" si="16"/>
        <v>0</v>
      </c>
      <c r="J320" s="114">
        <f t="shared" si="16"/>
        <v>0</v>
      </c>
      <c r="K320" s="114">
        <f t="shared" si="16"/>
        <v>0</v>
      </c>
    </row>
    <row r="321" spans="1:11" ht="24">
      <c r="A321" s="75" t="s">
        <v>160</v>
      </c>
      <c r="B321" s="76" t="s">
        <v>39</v>
      </c>
      <c r="C321" s="76" t="s">
        <v>100</v>
      </c>
      <c r="D321" s="76" t="s">
        <v>16</v>
      </c>
      <c r="E321" s="77">
        <v>0</v>
      </c>
      <c r="F321" s="78"/>
      <c r="G321" s="47">
        <f t="shared" si="16"/>
        <v>0</v>
      </c>
      <c r="H321" s="114">
        <f t="shared" si="16"/>
        <v>0</v>
      </c>
      <c r="I321" s="114">
        <f t="shared" si="16"/>
        <v>0</v>
      </c>
      <c r="J321" s="114">
        <f t="shared" si="16"/>
        <v>0</v>
      </c>
      <c r="K321" s="114">
        <f t="shared" si="16"/>
        <v>0</v>
      </c>
    </row>
    <row r="322" spans="1:11" ht="15.75">
      <c r="A322" s="75" t="s">
        <v>316</v>
      </c>
      <c r="B322" s="76" t="s">
        <v>39</v>
      </c>
      <c r="C322" s="76" t="s">
        <v>100</v>
      </c>
      <c r="D322" s="76" t="s">
        <v>16</v>
      </c>
      <c r="E322" s="77">
        <v>0</v>
      </c>
      <c r="F322" s="78">
        <v>700</v>
      </c>
      <c r="G322" s="47"/>
      <c r="H322" s="114">
        <f>150-150</f>
        <v>0</v>
      </c>
      <c r="I322" s="114"/>
      <c r="J322" s="114">
        <f>150-150</f>
        <v>0</v>
      </c>
      <c r="K322" s="114">
        <f>150-150</f>
        <v>0</v>
      </c>
    </row>
    <row r="323" spans="1:11" ht="24">
      <c r="A323" s="75" t="s">
        <v>174</v>
      </c>
      <c r="B323" s="76" t="s">
        <v>39</v>
      </c>
      <c r="C323" s="76" t="s">
        <v>175</v>
      </c>
      <c r="D323" s="76"/>
      <c r="E323" s="77"/>
      <c r="F323" s="78"/>
      <c r="G323" s="47">
        <f aca="true" t="shared" si="17" ref="G323:K325">SUM(G324)</f>
        <v>0</v>
      </c>
      <c r="H323" s="114">
        <f t="shared" si="17"/>
        <v>15643.5</v>
      </c>
      <c r="I323" s="114">
        <f t="shared" si="17"/>
        <v>0</v>
      </c>
      <c r="J323" s="114">
        <f t="shared" si="17"/>
        <v>15643.5</v>
      </c>
      <c r="K323" s="114">
        <f t="shared" si="17"/>
        <v>15643.5</v>
      </c>
    </row>
    <row r="324" spans="1:11" ht="15.75">
      <c r="A324" s="75" t="s">
        <v>176</v>
      </c>
      <c r="B324" s="76" t="s">
        <v>39</v>
      </c>
      <c r="C324" s="76" t="s">
        <v>177</v>
      </c>
      <c r="D324" s="76"/>
      <c r="E324" s="77"/>
      <c r="F324" s="78"/>
      <c r="G324" s="47">
        <f t="shared" si="17"/>
        <v>0</v>
      </c>
      <c r="H324" s="114">
        <f t="shared" si="17"/>
        <v>15643.5</v>
      </c>
      <c r="I324" s="114">
        <f t="shared" si="17"/>
        <v>0</v>
      </c>
      <c r="J324" s="114">
        <f t="shared" si="17"/>
        <v>15643.5</v>
      </c>
      <c r="K324" s="114">
        <f t="shared" si="17"/>
        <v>15643.5</v>
      </c>
    </row>
    <row r="325" spans="1:11" ht="24">
      <c r="A325" s="75" t="s">
        <v>160</v>
      </c>
      <c r="B325" s="76" t="s">
        <v>39</v>
      </c>
      <c r="C325" s="76" t="s">
        <v>177</v>
      </c>
      <c r="D325" s="76" t="s">
        <v>16</v>
      </c>
      <c r="E325" s="77">
        <v>0</v>
      </c>
      <c r="F325" s="78"/>
      <c r="G325" s="47">
        <f t="shared" si="17"/>
        <v>0</v>
      </c>
      <c r="H325" s="114">
        <f t="shared" si="17"/>
        <v>15643.5</v>
      </c>
      <c r="I325" s="114">
        <f t="shared" si="17"/>
        <v>0</v>
      </c>
      <c r="J325" s="114">
        <f t="shared" si="17"/>
        <v>15643.5</v>
      </c>
      <c r="K325" s="114">
        <f t="shared" si="17"/>
        <v>15643.5</v>
      </c>
    </row>
    <row r="326" spans="1:11" ht="15.75">
      <c r="A326" s="75" t="s">
        <v>163</v>
      </c>
      <c r="B326" s="76" t="s">
        <v>39</v>
      </c>
      <c r="C326" s="76" t="s">
        <v>177</v>
      </c>
      <c r="D326" s="76" t="s">
        <v>16</v>
      </c>
      <c r="E326" s="77">
        <v>0</v>
      </c>
      <c r="F326" s="78">
        <v>500</v>
      </c>
      <c r="G326" s="47"/>
      <c r="H326" s="114">
        <f>17567-1923.5</f>
        <v>15643.5</v>
      </c>
      <c r="I326" s="114"/>
      <c r="J326" s="114">
        <f>17567-1923.5</f>
        <v>15643.5</v>
      </c>
      <c r="K326" s="114">
        <f>17567-1923.5</f>
        <v>15643.5</v>
      </c>
    </row>
    <row r="327" spans="1:11" ht="15.75">
      <c r="A327" s="75" t="s">
        <v>101</v>
      </c>
      <c r="B327" s="76"/>
      <c r="C327" s="76"/>
      <c r="D327" s="76"/>
      <c r="E327" s="77"/>
      <c r="F327" s="78"/>
      <c r="G327" s="47">
        <f>SUM(G10+G18+G26)</f>
        <v>44715.899999999994</v>
      </c>
      <c r="H327" s="114">
        <f>SUM(H10+H18+H26)</f>
        <v>516318.50399999996</v>
      </c>
      <c r="I327" s="114">
        <f>SUM(I10+I18+I26)</f>
        <v>32684.6</v>
      </c>
      <c r="J327" s="114">
        <f>SUM(J10+J18+J26)</f>
        <v>380849.1</v>
      </c>
      <c r="K327" s="114">
        <f>SUM(K10+K18+K26)</f>
        <v>369719.3</v>
      </c>
    </row>
  </sheetData>
  <sheetProtection/>
  <mergeCells count="7">
    <mergeCell ref="G4:K4"/>
    <mergeCell ref="G8:J8"/>
    <mergeCell ref="A6:J6"/>
    <mergeCell ref="E5:F5"/>
    <mergeCell ref="G1:K1"/>
    <mergeCell ref="G2:K2"/>
    <mergeCell ref="G3:K3"/>
  </mergeCells>
  <printOptions/>
  <pageMargins left="0.3937007874015748" right="0" top="0.3937007874015748" bottom="0.3937007874015748" header="0.5118110236220472" footer="0.5118110236220472"/>
  <pageSetup fitToHeight="1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327"/>
  <sheetViews>
    <sheetView showGridLines="0" zoomScale="120" zoomScaleNormal="120" zoomScalePageLayoutView="0" workbookViewId="0" topLeftCell="A1">
      <pane ySplit="9" topLeftCell="A318" activePane="bottomLeft" state="frozen"/>
      <selection pane="topLeft" activeCell="A1" sqref="A1"/>
      <selection pane="bottomLeft" activeCell="G325" sqref="G325"/>
    </sheetView>
  </sheetViews>
  <sheetFormatPr defaultColWidth="9.140625" defaultRowHeight="12.75" outlineLevelRow="5"/>
  <cols>
    <col min="1" max="1" width="47.140625" style="7" customWidth="1"/>
    <col min="2" max="2" width="7.00390625" style="12" customWidth="1"/>
    <col min="3" max="3" width="6.00390625" style="12" customWidth="1"/>
    <col min="4" max="4" width="4.28125" style="13" customWidth="1"/>
    <col min="5" max="5" width="5.00390625" style="11" customWidth="1"/>
    <col min="6" max="6" width="7.7109375" style="15" hidden="1" customWidth="1"/>
    <col min="7" max="7" width="9.00390625" style="2" customWidth="1"/>
    <col min="8" max="8" width="9.7109375" style="2" hidden="1" customWidth="1"/>
    <col min="9" max="16384" width="9.140625" style="2" customWidth="1"/>
  </cols>
  <sheetData>
    <row r="1" spans="1:10" ht="18.75" customHeight="1">
      <c r="A1" s="69"/>
      <c r="B1" s="70"/>
      <c r="C1" s="71"/>
      <c r="D1" s="71"/>
      <c r="E1" s="71"/>
      <c r="F1" s="117" t="s">
        <v>231</v>
      </c>
      <c r="G1" s="117"/>
      <c r="H1" s="117"/>
      <c r="I1" s="117"/>
      <c r="J1" s="117"/>
    </row>
    <row r="2" spans="1:10" ht="12.75" customHeight="1">
      <c r="A2" s="69"/>
      <c r="B2" s="117" t="s">
        <v>147</v>
      </c>
      <c r="C2" s="117"/>
      <c r="D2" s="117"/>
      <c r="E2" s="117"/>
      <c r="F2" s="117"/>
      <c r="G2" s="117"/>
      <c r="H2" s="117"/>
      <c r="I2" s="117"/>
      <c r="J2" s="117"/>
    </row>
    <row r="3" spans="1:10" ht="18.75" customHeight="1">
      <c r="A3" s="69"/>
      <c r="B3" s="70"/>
      <c r="C3" s="70"/>
      <c r="D3" s="72"/>
      <c r="E3" s="117" t="s">
        <v>148</v>
      </c>
      <c r="F3" s="117"/>
      <c r="G3" s="117"/>
      <c r="H3" s="117"/>
      <c r="I3" s="117"/>
      <c r="J3" s="117"/>
    </row>
    <row r="4" spans="1:10" ht="18.75" customHeight="1">
      <c r="A4" s="117" t="s">
        <v>158</v>
      </c>
      <c r="B4" s="117"/>
      <c r="C4" s="117"/>
      <c r="D4" s="117"/>
      <c r="E4" s="117"/>
      <c r="F4" s="117"/>
      <c r="G4" s="117"/>
      <c r="H4" s="117"/>
      <c r="I4" s="117"/>
      <c r="J4" s="117"/>
    </row>
    <row r="5" spans="1:6" ht="15">
      <c r="A5" s="8"/>
      <c r="B5" s="1"/>
      <c r="C5" s="1"/>
      <c r="D5" s="5"/>
      <c r="E5" s="10"/>
      <c r="F5" s="66"/>
    </row>
    <row r="6" spans="1:9" ht="33" customHeight="1">
      <c r="A6" s="122" t="s">
        <v>337</v>
      </c>
      <c r="B6" s="122"/>
      <c r="C6" s="122"/>
      <c r="D6" s="122"/>
      <c r="E6" s="122"/>
      <c r="F6" s="122"/>
      <c r="G6" s="122"/>
      <c r="H6" s="122"/>
      <c r="I6" s="122"/>
    </row>
    <row r="7" spans="1:6" ht="12.75">
      <c r="A7" s="32"/>
      <c r="B7" s="33"/>
      <c r="C7" s="33"/>
      <c r="D7" s="34"/>
      <c r="E7" s="36"/>
      <c r="F7" s="35"/>
    </row>
    <row r="8" spans="1:10" ht="12.75">
      <c r="A8" s="32"/>
      <c r="B8" s="33"/>
      <c r="C8" s="33"/>
      <c r="D8" s="34"/>
      <c r="E8" s="36"/>
      <c r="F8" s="121"/>
      <c r="G8" s="121"/>
      <c r="H8" s="121"/>
      <c r="I8" s="121"/>
      <c r="J8" s="97" t="s">
        <v>313</v>
      </c>
    </row>
    <row r="9" spans="1:10" ht="87.75" customHeight="1">
      <c r="A9" s="38" t="s">
        <v>1</v>
      </c>
      <c r="B9" s="68" t="s">
        <v>185</v>
      </c>
      <c r="C9" s="51" t="s">
        <v>228</v>
      </c>
      <c r="D9" s="40" t="s">
        <v>8</v>
      </c>
      <c r="E9" s="41" t="s">
        <v>159</v>
      </c>
      <c r="F9" s="54" t="s">
        <v>294</v>
      </c>
      <c r="G9" s="37" t="s">
        <v>256</v>
      </c>
      <c r="H9" s="54" t="s">
        <v>336</v>
      </c>
      <c r="I9" s="37" t="s">
        <v>293</v>
      </c>
      <c r="J9" s="37" t="s">
        <v>333</v>
      </c>
    </row>
    <row r="10" spans="1:10" s="4" customFormat="1" ht="12.75" outlineLevel="3">
      <c r="A10" s="52" t="str">
        <f>'Таблица №10'!A11</f>
        <v>ОБЩЕГОСУДАРСТВЕННЫЕ ВОПРОСЫ</v>
      </c>
      <c r="B10" s="87" t="str">
        <f>'Таблица №10'!C11</f>
        <v>0100</v>
      </c>
      <c r="C10" s="87"/>
      <c r="D10" s="87"/>
      <c r="E10" s="87"/>
      <c r="F10" s="73">
        <f>SUM(F11+F20+F50+F54+F57+F14+F44)</f>
        <v>3963.0219399999996</v>
      </c>
      <c r="G10" s="73">
        <f>SUM(G11+G20+G50+G54+G57+G14+G44)</f>
        <v>63211.02194</v>
      </c>
      <c r="H10" s="73">
        <f>SUM(H11+H20+H50+H54+H57+H14+H44)</f>
        <v>11358.289000000002</v>
      </c>
      <c r="I10" s="73">
        <f>SUM(I11+I20+I50+I54+I57+I14+I44)</f>
        <v>71006.78900000002</v>
      </c>
      <c r="J10" s="73">
        <f>SUM(J11+J20+J50+J54+J57+J14+J44)</f>
        <v>75786.589</v>
      </c>
    </row>
    <row r="11" spans="1:10" s="4" customFormat="1" ht="24" outlineLevel="3">
      <c r="A11" s="52" t="str">
        <f>'Таблица №10'!A28</f>
        <v>Функционирование высшего должностного лица субъекта Российской Федерации и муниципального образования</v>
      </c>
      <c r="B11" s="87" t="str">
        <f>'Таблица №10'!C28</f>
        <v>0102</v>
      </c>
      <c r="C11" s="87"/>
      <c r="D11" s="87"/>
      <c r="E11" s="87"/>
      <c r="F11" s="73">
        <f aca="true" t="shared" si="0" ref="F11:J12">SUM(F12)</f>
        <v>0</v>
      </c>
      <c r="G11" s="73">
        <f t="shared" si="0"/>
        <v>1710</v>
      </c>
      <c r="H11" s="73">
        <f t="shared" si="0"/>
        <v>0</v>
      </c>
      <c r="I11" s="73">
        <f t="shared" si="0"/>
        <v>1710</v>
      </c>
      <c r="J11" s="73">
        <f t="shared" si="0"/>
        <v>1710</v>
      </c>
    </row>
    <row r="12" spans="1:10" s="4" customFormat="1" ht="36" outlineLevel="3">
      <c r="A12" s="52" t="str">
        <f>'Таблица №10'!A29</f>
        <v>Непрограммные направления обеспечения деятельности органов местного самоуправления Алексеевского муниципального района</v>
      </c>
      <c r="B12" s="87" t="str">
        <f>'Таблица №10'!C29</f>
        <v>0102</v>
      </c>
      <c r="C12" s="87" t="s">
        <v>11</v>
      </c>
      <c r="D12" s="87" t="s">
        <v>9</v>
      </c>
      <c r="E12" s="87">
        <v>100</v>
      </c>
      <c r="F12" s="73">
        <f t="shared" si="0"/>
        <v>0</v>
      </c>
      <c r="G12" s="73">
        <f t="shared" si="0"/>
        <v>1710</v>
      </c>
      <c r="H12" s="73">
        <f t="shared" si="0"/>
        <v>0</v>
      </c>
      <c r="I12" s="73">
        <f t="shared" si="0"/>
        <v>1710</v>
      </c>
      <c r="J12" s="73">
        <f t="shared" si="0"/>
        <v>1710</v>
      </c>
    </row>
    <row r="13" spans="1:10" ht="48" outlineLevel="1">
      <c r="A13" s="52" t="str">
        <f>'Таблица №10'!A30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3" s="87" t="str">
        <f>'Таблица №10'!C30</f>
        <v>0102</v>
      </c>
      <c r="C13" s="87" t="s">
        <v>11</v>
      </c>
      <c r="D13" s="87">
        <v>0</v>
      </c>
      <c r="E13" s="87">
        <v>100</v>
      </c>
      <c r="F13" s="73">
        <f>SUM('Таблица №10'!G30)</f>
        <v>0</v>
      </c>
      <c r="G13" s="73">
        <f>SUM('Таблица №10'!H30)</f>
        <v>1710</v>
      </c>
      <c r="H13" s="73">
        <f>SUM('Таблица №10'!I30)</f>
        <v>0</v>
      </c>
      <c r="I13" s="73">
        <f>SUM('Таблица №10'!J30)</f>
        <v>1710</v>
      </c>
      <c r="J13" s="73">
        <f>SUM('Таблица №10'!K30)</f>
        <v>1710</v>
      </c>
    </row>
    <row r="14" spans="1:10" ht="37.5" customHeight="1" outlineLevel="1">
      <c r="A14" s="52" t="str">
        <f>'Таблица №10'!A12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B14" s="87" t="str">
        <f>'Таблица №10'!C12</f>
        <v>0103</v>
      </c>
      <c r="C14" s="88"/>
      <c r="D14" s="87"/>
      <c r="E14" s="87"/>
      <c r="F14" s="73">
        <f>SUBTOTAL(9,'Таблица №10'!G11)</f>
        <v>-8</v>
      </c>
      <c r="G14" s="73">
        <f>SUBTOTAL(9,'Таблица №10'!H11)</f>
        <v>450</v>
      </c>
      <c r="H14" s="73">
        <f>SUBTOTAL(9,'Таблица №10'!I11)</f>
        <v>-8</v>
      </c>
      <c r="I14" s="73">
        <f>SUBTOTAL(9,'Таблица №10'!J11)</f>
        <v>450</v>
      </c>
      <c r="J14" s="73">
        <f>SUBTOTAL(9,'Таблица №10'!K11)</f>
        <v>450</v>
      </c>
    </row>
    <row r="15" spans="1:10" ht="24.75" customHeight="1" outlineLevel="1">
      <c r="A15" s="52" t="str">
        <f>'Таблица №10'!A13</f>
        <v>Непрограммные направления обеспечения деятельности органов местного самоуправления Алексеевского муниципального района</v>
      </c>
      <c r="B15" s="87" t="str">
        <f>'Таблица №10'!C13</f>
        <v>0103</v>
      </c>
      <c r="C15" s="88"/>
      <c r="D15" s="87"/>
      <c r="E15" s="87"/>
      <c r="F15" s="73">
        <f>SUBTOTAL(9,'Таблица №10'!G12)</f>
        <v>-8</v>
      </c>
      <c r="G15" s="73">
        <f>SUBTOTAL(9,'Таблица №10'!H12)</f>
        <v>450</v>
      </c>
      <c r="H15" s="73">
        <f>SUBTOTAL(9,'Таблица №10'!I12)</f>
        <v>-8</v>
      </c>
      <c r="I15" s="73">
        <f>SUBTOTAL(9,'Таблица №10'!J12)</f>
        <v>450</v>
      </c>
      <c r="J15" s="73">
        <f>SUBTOTAL(9,'Таблица №10'!K12)</f>
        <v>450</v>
      </c>
    </row>
    <row r="16" spans="1:10" ht="48" outlineLevel="1">
      <c r="A16" s="52" t="str">
        <f>'Таблица №10'!A14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" s="87" t="str">
        <f>'Таблица №10'!C14</f>
        <v>0103</v>
      </c>
      <c r="C16" s="87" t="str">
        <f>'Таблица №10'!D14</f>
        <v>90</v>
      </c>
      <c r="D16" s="87" t="str">
        <f>'Таблица №10'!E14</f>
        <v>0</v>
      </c>
      <c r="E16" s="87">
        <f>'Таблица №10'!F14</f>
        <v>100</v>
      </c>
      <c r="F16" s="73">
        <f>SUBTOTAL(9,'Таблица №10'!G14)</f>
        <v>0</v>
      </c>
      <c r="G16" s="73">
        <f>SUBTOTAL(9,'Таблица №10'!H14)</f>
        <v>390</v>
      </c>
      <c r="H16" s="73">
        <f>SUBTOTAL(9,'Таблица №10'!I14)</f>
        <v>0</v>
      </c>
      <c r="I16" s="73">
        <f>SUBTOTAL(9,'Таблица №10'!J14)</f>
        <v>390</v>
      </c>
      <c r="J16" s="73">
        <f>SUBTOTAL(9,'Таблица №10'!K14)</f>
        <v>390</v>
      </c>
    </row>
    <row r="17" spans="1:10" ht="22.5" customHeight="1" outlineLevel="1">
      <c r="A17" s="52" t="str">
        <f>'Таблица №10'!A15</f>
        <v>Закупка товаров, работ и услуг для государственных (муниципальных) нужд</v>
      </c>
      <c r="B17" s="87" t="str">
        <f>'Таблица №10'!C15</f>
        <v>0103</v>
      </c>
      <c r="C17" s="87" t="str">
        <f>'Таблица №10'!D15</f>
        <v>90</v>
      </c>
      <c r="D17" s="87">
        <f>'Таблица №10'!E15</f>
        <v>0</v>
      </c>
      <c r="E17" s="87">
        <f>'Таблица №10'!F15</f>
        <v>200</v>
      </c>
      <c r="F17" s="73">
        <f>SUBTOTAL(9,'Таблица №10'!G15)</f>
        <v>-7.9</v>
      </c>
      <c r="G17" s="73">
        <f>SUBTOTAL(9,'Таблица №10'!H15)</f>
        <v>60.00000000000001</v>
      </c>
      <c r="H17" s="73">
        <f>SUBTOTAL(9,'Таблица №10'!I15)</f>
        <v>-7.9</v>
      </c>
      <c r="I17" s="73">
        <f>SUBTOTAL(9,'Таблица №10'!J15)</f>
        <v>60.00000000000001</v>
      </c>
      <c r="J17" s="73">
        <f>SUBTOTAL(9,'Таблица №10'!K15)</f>
        <v>60.00000000000001</v>
      </c>
    </row>
    <row r="18" spans="1:10" ht="27.75" customHeight="1" hidden="1" outlineLevel="1">
      <c r="A18" s="52" t="str">
        <f>'Таблица №10'!A16</f>
        <v>Непрограммные расходы органов местного самоуправления Алексеевского муниципального района</v>
      </c>
      <c r="B18" s="87" t="str">
        <f>'Таблица №10'!C16</f>
        <v>0103</v>
      </c>
      <c r="C18" s="87" t="str">
        <f>'Таблица №10'!D16</f>
        <v>99</v>
      </c>
      <c r="D18" s="87">
        <f>'Таблица №10'!E16</f>
        <v>0</v>
      </c>
      <c r="E18" s="89"/>
      <c r="F18" s="73">
        <f>SUBTOTAL(9,'Таблица №10'!G16)</f>
        <v>-0.1</v>
      </c>
      <c r="G18" s="73">
        <f>SUBTOTAL(9,'Таблица №10'!H16)</f>
        <v>0</v>
      </c>
      <c r="H18" s="73">
        <f>SUBTOTAL(9,'Таблица №10'!I16)</f>
        <v>-0.1</v>
      </c>
      <c r="I18" s="73">
        <f>SUBTOTAL(9,'Таблица №10'!J16)</f>
        <v>0</v>
      </c>
      <c r="J18" s="73">
        <f>SUBTOTAL(9,'Таблица №10'!K16)</f>
        <v>0</v>
      </c>
    </row>
    <row r="19" spans="1:10" ht="12.75" hidden="1" outlineLevel="1">
      <c r="A19" s="52" t="str">
        <f>'Таблица №10'!A17</f>
        <v>Иные бюджетные ассигнования</v>
      </c>
      <c r="B19" s="87" t="str">
        <f>'Таблица №10'!C17</f>
        <v>0103</v>
      </c>
      <c r="C19" s="87" t="str">
        <f>'Таблица №10'!D17</f>
        <v>99</v>
      </c>
      <c r="D19" s="87">
        <f>'Таблица №10'!E17</f>
        <v>0</v>
      </c>
      <c r="E19" s="87">
        <f>'Таблица №10'!F17</f>
        <v>800</v>
      </c>
      <c r="F19" s="73">
        <f>SUBTOTAL(9,'Таблица №10'!G17)</f>
        <v>-0.1</v>
      </c>
      <c r="G19" s="73">
        <f>SUBTOTAL(9,'Таблица №10'!H17)</f>
        <v>0</v>
      </c>
      <c r="H19" s="73">
        <f>SUBTOTAL(9,'Таблица №10'!I17)</f>
        <v>-0.1</v>
      </c>
      <c r="I19" s="73">
        <f>SUBTOTAL(9,'Таблица №10'!J17)</f>
        <v>0</v>
      </c>
      <c r="J19" s="73">
        <f>SUBTOTAL(9,'Таблица №10'!K17)</f>
        <v>0</v>
      </c>
    </row>
    <row r="20" spans="1:10" ht="36" outlineLevel="2">
      <c r="A20" s="53" t="str">
        <f>'Таблица №10'!A31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20" s="88" t="str">
        <f>'Таблица №10'!C31</f>
        <v>0104</v>
      </c>
      <c r="C20" s="88"/>
      <c r="D20" s="88"/>
      <c r="E20" s="88"/>
      <c r="F20" s="73">
        <f>'Таблица №10'!G31</f>
        <v>-10.900000000000034</v>
      </c>
      <c r="G20" s="73">
        <f>'Таблица №10'!H31</f>
        <v>29631.3</v>
      </c>
      <c r="H20" s="73">
        <f>'Таблица №10'!I31</f>
        <v>1995.3000000000002</v>
      </c>
      <c r="I20" s="73">
        <f>'Таблица №10'!J31</f>
        <v>29594.6</v>
      </c>
      <c r="J20" s="73">
        <f>'Таблица №10'!K31</f>
        <v>29605.8</v>
      </c>
    </row>
    <row r="21" spans="1:10" s="4" customFormat="1" ht="36" outlineLevel="3">
      <c r="A21" s="53" t="str">
        <f>'Таблица №10'!A32</f>
        <v>Непрограммные направления обеспечения деятельности органов местного самоуправления Алексеевского муниципального района</v>
      </c>
      <c r="B21" s="88" t="str">
        <f>'Таблица №10'!C32</f>
        <v>0104</v>
      </c>
      <c r="C21" s="88" t="str">
        <f>'Таблица №10'!D32</f>
        <v>90</v>
      </c>
      <c r="D21" s="88">
        <f>'Таблица №10'!E32</f>
        <v>0</v>
      </c>
      <c r="E21" s="88"/>
      <c r="F21" s="73">
        <f>'Таблица №10'!G32</f>
        <v>-10.900000000000034</v>
      </c>
      <c r="G21" s="73">
        <f>'Таблица №10'!H32</f>
        <v>29581.3</v>
      </c>
      <c r="H21" s="73">
        <f>'Таблица №10'!I32</f>
        <v>1995.3000000000002</v>
      </c>
      <c r="I21" s="73">
        <f>'Таблица №10'!J32</f>
        <v>29544.6</v>
      </c>
      <c r="J21" s="73">
        <f>'Таблица №10'!K32</f>
        <v>29555.8</v>
      </c>
    </row>
    <row r="22" spans="1:10" s="4" customFormat="1" ht="12.75" outlineLevel="3">
      <c r="A22" s="53" t="str">
        <f>'Таблица №10'!A33</f>
        <v>Центральный аппарат</v>
      </c>
      <c r="B22" s="88" t="str">
        <f>'Таблица №10'!C33</f>
        <v>0104</v>
      </c>
      <c r="C22" s="88" t="str">
        <f>'Таблица №10'!D33</f>
        <v>90</v>
      </c>
      <c r="D22" s="88">
        <f>'Таблица №10'!E33</f>
        <v>0</v>
      </c>
      <c r="E22" s="88"/>
      <c r="F22" s="73">
        <f>'Таблица №10'!G33</f>
        <v>277.4</v>
      </c>
      <c r="G22" s="73">
        <f>'Таблица №10'!H33</f>
        <v>27839.899999999998</v>
      </c>
      <c r="H22" s="73">
        <f>'Таблица №10'!I33</f>
        <v>2320.3</v>
      </c>
      <c r="I22" s="73">
        <f>'Таблица №10'!J33</f>
        <v>27839.899999999998</v>
      </c>
      <c r="J22" s="73">
        <f>'Таблица №10'!K33</f>
        <v>27839.899999999998</v>
      </c>
    </row>
    <row r="23" spans="1:10" s="4" customFormat="1" ht="48" outlineLevel="3">
      <c r="A23" s="53" t="str">
        <f>'Таблица №10'!A34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" s="88" t="str">
        <f>'Таблица №10'!C34</f>
        <v>0104</v>
      </c>
      <c r="C23" s="88" t="str">
        <f>'Таблица №10'!D34</f>
        <v>90</v>
      </c>
      <c r="D23" s="88">
        <f>'Таблица №10'!E34</f>
        <v>0</v>
      </c>
      <c r="E23" s="88">
        <f>'Таблица №10'!F34</f>
        <v>100</v>
      </c>
      <c r="F23" s="73">
        <f>'Таблица №10'!G34</f>
        <v>799.6</v>
      </c>
      <c r="G23" s="73">
        <f>'Таблица №10'!H34</f>
        <v>25839.899999999998</v>
      </c>
      <c r="H23" s="73">
        <f>'Таблица №10'!I34</f>
        <v>2842.5</v>
      </c>
      <c r="I23" s="73">
        <f>'Таблица №10'!J34</f>
        <v>25839.899999999998</v>
      </c>
      <c r="J23" s="73">
        <f>'Таблица №10'!K34</f>
        <v>25839.899999999998</v>
      </c>
    </row>
    <row r="24" spans="1:10" ht="24" outlineLevel="1">
      <c r="A24" s="53" t="str">
        <f>'Таблица №10'!A35</f>
        <v>Закупка товаров, работ и услуг для государственных (муниципальных) нужд</v>
      </c>
      <c r="B24" s="88" t="str">
        <f>'Таблица №10'!C35</f>
        <v>0104</v>
      </c>
      <c r="C24" s="88" t="str">
        <f>'Таблица №10'!D35</f>
        <v>90</v>
      </c>
      <c r="D24" s="88">
        <f>'Таблица №10'!E35</f>
        <v>0</v>
      </c>
      <c r="E24" s="88">
        <f>'Таблица №10'!F35</f>
        <v>200</v>
      </c>
      <c r="F24" s="73">
        <f>'Таблица №10'!G35</f>
        <v>-522.2</v>
      </c>
      <c r="G24" s="73">
        <f>'Таблица №10'!H35</f>
        <v>2000</v>
      </c>
      <c r="H24" s="73">
        <f>'Таблица №10'!I35</f>
        <v>-522.2</v>
      </c>
      <c r="I24" s="73">
        <f>'Таблица №10'!J35</f>
        <v>2000</v>
      </c>
      <c r="J24" s="73">
        <f>'Таблица №10'!K35</f>
        <v>2000</v>
      </c>
    </row>
    <row r="25" spans="1:10" ht="36" outlineLevel="2">
      <c r="A25" s="53" t="str">
        <f>'Таблица №10'!A36</f>
        <v>Непрограммные направления обеспечения деятельности органов местного самоуправления Алексеевского муниципального района</v>
      </c>
      <c r="B25" s="88" t="str">
        <f>'Таблица №10'!C36</f>
        <v>0104</v>
      </c>
      <c r="C25" s="88" t="str">
        <f>'Таблица №10'!D36</f>
        <v>90</v>
      </c>
      <c r="D25" s="88" t="str">
        <f>'Таблица №10'!E36</f>
        <v>0</v>
      </c>
      <c r="E25" s="88"/>
      <c r="F25" s="73">
        <f>'Таблица №10'!G36</f>
        <v>-288.3</v>
      </c>
      <c r="G25" s="73">
        <f>'Таблица №10'!H36</f>
        <v>1741.3999999999999</v>
      </c>
      <c r="H25" s="73">
        <f>'Таблица №10'!I36</f>
        <v>-325</v>
      </c>
      <c r="I25" s="73">
        <f>'Таблица №10'!J36</f>
        <v>1704.6999999999998</v>
      </c>
      <c r="J25" s="73">
        <f>'Таблица №10'!K36</f>
        <v>1715.8999999999999</v>
      </c>
    </row>
    <row r="26" spans="1:10" ht="25.5" customHeight="1" outlineLevel="2">
      <c r="A26" s="53" t="str">
        <f>'Таблица №10'!A37</f>
        <v>За счет субвенции на организационное обеспечение деятельности территориальных административных комиссий</v>
      </c>
      <c r="B26" s="88" t="str">
        <f>'Таблица №10'!C37</f>
        <v>0104</v>
      </c>
      <c r="C26" s="88" t="str">
        <f>'Таблица №10'!D37</f>
        <v>90</v>
      </c>
      <c r="D26" s="88" t="str">
        <f>'Таблица №10'!E37</f>
        <v>0</v>
      </c>
      <c r="E26" s="88"/>
      <c r="F26" s="73">
        <f>'Таблица №10'!G37</f>
        <v>-0.3</v>
      </c>
      <c r="G26" s="73">
        <f>'Таблица №10'!H37</f>
        <v>296.7</v>
      </c>
      <c r="H26" s="73">
        <f>'Таблица №10'!I37</f>
        <v>-0.3</v>
      </c>
      <c r="I26" s="73">
        <f>'Таблица №10'!J37</f>
        <v>296.7</v>
      </c>
      <c r="J26" s="73">
        <f>'Таблица №10'!K37</f>
        <v>296.7</v>
      </c>
    </row>
    <row r="27" spans="1:10" ht="48.75" customHeight="1" collapsed="1">
      <c r="A27" s="53" t="str">
        <f>'Таблица №10'!A38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88" t="s">
        <v>40</v>
      </c>
      <c r="C27" s="88" t="s">
        <v>11</v>
      </c>
      <c r="D27" s="86">
        <v>0</v>
      </c>
      <c r="E27" s="87">
        <v>100</v>
      </c>
      <c r="F27" s="73">
        <f>'Таблица №10'!G38</f>
        <v>-0.3</v>
      </c>
      <c r="G27" s="73">
        <f>'Таблица №10'!H38</f>
        <v>296.7</v>
      </c>
      <c r="H27" s="73">
        <f>'Таблица №10'!I38</f>
        <v>-0.3</v>
      </c>
      <c r="I27" s="73">
        <f>'Таблица №10'!J38</f>
        <v>296.7</v>
      </c>
      <c r="J27" s="73">
        <f>'Таблица №10'!K38</f>
        <v>296.7</v>
      </c>
    </row>
    <row r="28" spans="1:10" ht="24" hidden="1" outlineLevel="1">
      <c r="A28" s="53" t="str">
        <f>'Таблица №10'!A39</f>
        <v>Закупка товаров, работ и услуг для государственных (муниципальных) нужд</v>
      </c>
      <c r="B28" s="88" t="str">
        <f>'Таблица №10'!C39</f>
        <v>0104</v>
      </c>
      <c r="C28" s="88" t="str">
        <f>'Таблица №10'!D39</f>
        <v>90</v>
      </c>
      <c r="D28" s="88" t="str">
        <f>'Таблица №10'!E39</f>
        <v>0</v>
      </c>
      <c r="E28" s="88">
        <f>'Таблица №10'!F39</f>
        <v>200</v>
      </c>
      <c r="F28" s="73">
        <f>'Таблица №10'!G39</f>
        <v>0</v>
      </c>
      <c r="G28" s="73">
        <f>'Таблица №10'!H39</f>
        <v>0</v>
      </c>
      <c r="H28" s="73">
        <f>'Таблица №10'!I39</f>
        <v>0</v>
      </c>
      <c r="I28" s="73">
        <f>'Таблица №10'!J39</f>
        <v>0</v>
      </c>
      <c r="J28" s="73">
        <f>'Таблица №10'!K39</f>
        <v>0</v>
      </c>
    </row>
    <row r="29" spans="1:10" ht="24" outlineLevel="2">
      <c r="A29" s="53" t="str">
        <f>'Таблица №10'!A40</f>
        <v>За счет субвенции на организацию и осуществление деятельности по опеке и попечительству</v>
      </c>
      <c r="B29" s="88" t="str">
        <f>'Таблица №10'!C40</f>
        <v>0104</v>
      </c>
      <c r="C29" s="88" t="str">
        <f>'Таблица №10'!D40</f>
        <v>90</v>
      </c>
      <c r="D29" s="88" t="str">
        <f>'Таблица №10'!E40</f>
        <v>0</v>
      </c>
      <c r="E29" s="88"/>
      <c r="F29" s="73">
        <f>'Таблица №10'!G40</f>
        <v>-308.1</v>
      </c>
      <c r="G29" s="73">
        <f>'Таблица №10'!H40</f>
        <v>666.9</v>
      </c>
      <c r="H29" s="73">
        <f>'Таблица №10'!I40</f>
        <v>-308.1</v>
      </c>
      <c r="I29" s="73">
        <f>'Таблица №10'!J40</f>
        <v>666.9</v>
      </c>
      <c r="J29" s="73">
        <f>'Таблица №10'!K40</f>
        <v>666.9</v>
      </c>
    </row>
    <row r="30" spans="1:10" ht="48" outlineLevel="1">
      <c r="A30" s="53" t="str">
        <f>'Таблица №10'!A41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0" s="88" t="str">
        <f>'Таблица №10'!C41</f>
        <v>0104</v>
      </c>
      <c r="C30" s="88" t="str">
        <f>'Таблица №10'!D41</f>
        <v>90</v>
      </c>
      <c r="D30" s="88" t="str">
        <f>'Таблица №10'!E41</f>
        <v>0</v>
      </c>
      <c r="E30" s="88">
        <f>'Таблица №10'!F41</f>
        <v>100</v>
      </c>
      <c r="F30" s="73">
        <f>'Таблица №10'!G41</f>
        <v>-123.1</v>
      </c>
      <c r="G30" s="73">
        <f>'Таблица №10'!H41</f>
        <v>651.9</v>
      </c>
      <c r="H30" s="73">
        <f>'Таблица №10'!I41</f>
        <v>-123.1</v>
      </c>
      <c r="I30" s="73">
        <f>'Таблица №10'!J41</f>
        <v>651.9</v>
      </c>
      <c r="J30" s="73">
        <f>'Таблица №10'!K41</f>
        <v>651.9</v>
      </c>
    </row>
    <row r="31" spans="1:10" ht="24" outlineLevel="5">
      <c r="A31" s="53" t="str">
        <f>'Таблица №10'!A42</f>
        <v>Закупка товаров, работ и услуг для государственных (муниципальных) нужд</v>
      </c>
      <c r="B31" s="88" t="str">
        <f>'Таблица №10'!C42</f>
        <v>0104</v>
      </c>
      <c r="C31" s="88" t="str">
        <f>'Таблица №10'!D42</f>
        <v>90</v>
      </c>
      <c r="D31" s="88" t="str">
        <f>'Таблица №10'!E42</f>
        <v>0</v>
      </c>
      <c r="E31" s="88">
        <f>'Таблица №10'!F42</f>
        <v>200</v>
      </c>
      <c r="F31" s="73">
        <f>'Таблица №10'!G42</f>
        <v>-185</v>
      </c>
      <c r="G31" s="73">
        <f>'Таблица №10'!H42</f>
        <v>15</v>
      </c>
      <c r="H31" s="73">
        <f>'Таблица №10'!I42</f>
        <v>-185</v>
      </c>
      <c r="I31" s="73">
        <f>'Таблица №10'!J42</f>
        <v>15</v>
      </c>
      <c r="J31" s="73">
        <f>'Таблица №10'!K42</f>
        <v>15</v>
      </c>
    </row>
    <row r="32" spans="1:10" ht="39.75" customHeight="1" outlineLevel="5">
      <c r="A32" s="53" t="str">
        <f>'Таблица №10'!A43</f>
        <v>За счет субвенции на создание, исполнение функций и обеспечение деятельности муниципальных комиссий по делам несовершеннолетних и защите их прав</v>
      </c>
      <c r="B32" s="88" t="str">
        <f>'Таблица №10'!C43</f>
        <v>0104</v>
      </c>
      <c r="C32" s="88" t="str">
        <f>'Таблица №10'!D43</f>
        <v>90</v>
      </c>
      <c r="D32" s="88" t="str">
        <f>'Таблица №10'!E43</f>
        <v>0</v>
      </c>
      <c r="E32" s="88"/>
      <c r="F32" s="73">
        <f>'Таблица №10'!G43</f>
        <v>-1.2</v>
      </c>
      <c r="G32" s="73">
        <f>'Таблица №10'!H43</f>
        <v>315.8</v>
      </c>
      <c r="H32" s="73">
        <f>'Таблица №10'!I43</f>
        <v>-37.9</v>
      </c>
      <c r="I32" s="73">
        <f>'Таблица №10'!J43</f>
        <v>279.1</v>
      </c>
      <c r="J32" s="73">
        <f>'Таблица №10'!K43</f>
        <v>290.3</v>
      </c>
    </row>
    <row r="33" spans="1:10" ht="48" outlineLevel="5">
      <c r="A33" s="53" t="str">
        <f>'Таблица №10'!A44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3" s="88" t="str">
        <f>'Таблица №10'!C44</f>
        <v>0104</v>
      </c>
      <c r="C33" s="88" t="str">
        <f>'Таблица №10'!D44</f>
        <v>90</v>
      </c>
      <c r="D33" s="88" t="str">
        <f>'Таблица №10'!E44</f>
        <v>0</v>
      </c>
      <c r="E33" s="88">
        <f>'Таблица №10'!F44</f>
        <v>100</v>
      </c>
      <c r="F33" s="73">
        <f>'Таблица №10'!G44</f>
        <v>-1.2</v>
      </c>
      <c r="G33" s="73">
        <f>'Таблица №10'!H44</f>
        <v>315.8</v>
      </c>
      <c r="H33" s="73">
        <f>'Таблица №10'!I44</f>
        <v>-37.9</v>
      </c>
      <c r="I33" s="73">
        <f>'Таблица №10'!J44</f>
        <v>279.1</v>
      </c>
      <c r="J33" s="73">
        <f>'Таблица №10'!K44</f>
        <v>290.3</v>
      </c>
    </row>
    <row r="34" spans="1:10" ht="24" hidden="1" outlineLevel="2">
      <c r="A34" s="53" t="str">
        <f>'Таблица №10'!A45</f>
        <v>Закупка товаров, работ и услуг для государственных (муниципальных) нужд</v>
      </c>
      <c r="B34" s="88" t="str">
        <f>'Таблица №10'!C45</f>
        <v>0104</v>
      </c>
      <c r="C34" s="88" t="str">
        <f>'Таблица №10'!D45</f>
        <v>90</v>
      </c>
      <c r="D34" s="88" t="str">
        <f>'Таблица №10'!E45</f>
        <v>0</v>
      </c>
      <c r="E34" s="88">
        <f>'Таблица №10'!F45</f>
        <v>200</v>
      </c>
      <c r="F34" s="73">
        <f>'Таблица №10'!G45</f>
        <v>0</v>
      </c>
      <c r="G34" s="73">
        <f>'Таблица №10'!H45</f>
        <v>0</v>
      </c>
      <c r="H34" s="73">
        <f>'Таблица №10'!I45</f>
        <v>0</v>
      </c>
      <c r="I34" s="73">
        <f>'Таблица №10'!J45</f>
        <v>0</v>
      </c>
      <c r="J34" s="73">
        <f>'Таблица №10'!K45</f>
        <v>0</v>
      </c>
    </row>
    <row r="35" spans="1:10" ht="48" outlineLevel="4">
      <c r="A35" s="53" t="str">
        <f>'Таблица №10'!A46</f>
        <v>За счет субвенции на деятельность на хранение, комплектование, учет и использование архивных документов и архивных фондов, отнесенных к составу архивного фонда Волгоградской области</v>
      </c>
      <c r="B35" s="88" t="str">
        <f>'Таблица №10'!C46</f>
        <v>0104</v>
      </c>
      <c r="C35" s="88" t="str">
        <f>'Таблица №10'!D46</f>
        <v>90</v>
      </c>
      <c r="D35" s="88" t="str">
        <f>'Таблица №10'!E46</f>
        <v>0</v>
      </c>
      <c r="E35" s="88"/>
      <c r="F35" s="73">
        <f>'Таблица №10'!G46</f>
        <v>21.3</v>
      </c>
      <c r="G35" s="73">
        <f>'Таблица №10'!H46</f>
        <v>461.99999999999994</v>
      </c>
      <c r="H35" s="73">
        <f>'Таблица №10'!I46</f>
        <v>21.3</v>
      </c>
      <c r="I35" s="73">
        <f>'Таблица №10'!J46</f>
        <v>461.99999999999994</v>
      </c>
      <c r="J35" s="73">
        <f>'Таблица №10'!K46</f>
        <v>461.99999999999994</v>
      </c>
    </row>
    <row r="36" spans="1:10" ht="48" outlineLevel="4">
      <c r="A36" s="53" t="str">
        <f>'Таблица №10'!A47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6" s="88" t="str">
        <f>'Таблица №10'!C47</f>
        <v>0104</v>
      </c>
      <c r="C36" s="88" t="str">
        <f>'Таблица №10'!D47</f>
        <v>90</v>
      </c>
      <c r="D36" s="88" t="str">
        <f>'Таблица №10'!E47</f>
        <v>0</v>
      </c>
      <c r="E36" s="88">
        <f>'Таблица №10'!F47</f>
        <v>100</v>
      </c>
      <c r="F36" s="73">
        <f>'Таблица №10'!G47</f>
        <v>53.174</v>
      </c>
      <c r="G36" s="73">
        <f>'Таблица №10'!H47</f>
        <v>53.174</v>
      </c>
      <c r="H36" s="73">
        <f>'Таблица №10'!I47</f>
        <v>53.174</v>
      </c>
      <c r="I36" s="73">
        <f>'Таблица №10'!J47</f>
        <v>53.174</v>
      </c>
      <c r="J36" s="73">
        <f>'Таблица №10'!K47</f>
        <v>53.174</v>
      </c>
    </row>
    <row r="37" spans="1:10" ht="24" outlineLevel="5">
      <c r="A37" s="53" t="str">
        <f>'Таблица №10'!A48</f>
        <v>Закупка товаров, работ и услуг для государственных (муниципальных) нужд</v>
      </c>
      <c r="B37" s="88" t="str">
        <f>'Таблица №10'!C48</f>
        <v>0104</v>
      </c>
      <c r="C37" s="88" t="str">
        <f>'Таблица №10'!D48</f>
        <v>90</v>
      </c>
      <c r="D37" s="88" t="str">
        <f>'Таблица №10'!E48</f>
        <v>0</v>
      </c>
      <c r="E37" s="88">
        <f>'Таблица №10'!F48</f>
        <v>200</v>
      </c>
      <c r="F37" s="73">
        <f>'Таблица №10'!G48</f>
        <v>-31.874</v>
      </c>
      <c r="G37" s="73">
        <f>'Таблица №10'!H48</f>
        <v>408.82599999999996</v>
      </c>
      <c r="H37" s="73">
        <f>'Таблица №10'!I48</f>
        <v>-31.874</v>
      </c>
      <c r="I37" s="73">
        <f>'Таблица №10'!J48</f>
        <v>408.82599999999996</v>
      </c>
      <c r="J37" s="73">
        <f>'Таблица №10'!K48</f>
        <v>408.82599999999996</v>
      </c>
    </row>
    <row r="38" spans="1:10" ht="36" outlineLevel="4">
      <c r="A38" s="53" t="str">
        <f>'Таблица №10'!A49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38" s="88" t="str">
        <f>'Таблица №10'!C49</f>
        <v>0104</v>
      </c>
      <c r="C38" s="88" t="str">
        <f>'Таблица №10'!D49</f>
        <v>01</v>
      </c>
      <c r="D38" s="88">
        <f>'Таблица №10'!E49</f>
        <v>0</v>
      </c>
      <c r="E38" s="88"/>
      <c r="F38" s="73">
        <f>'Таблица №10'!G49</f>
        <v>0</v>
      </c>
      <c r="G38" s="73">
        <f>'Таблица №10'!H49</f>
        <v>50</v>
      </c>
      <c r="H38" s="73">
        <f>'Таблица №10'!I49</f>
        <v>0</v>
      </c>
      <c r="I38" s="73">
        <f>'Таблица №10'!J49</f>
        <v>50</v>
      </c>
      <c r="J38" s="73">
        <f>'Таблица №10'!K49</f>
        <v>50</v>
      </c>
    </row>
    <row r="39" spans="1:10" ht="27" customHeight="1" outlineLevel="4">
      <c r="A39" s="53" t="str">
        <f>'Таблица №10'!A50</f>
        <v>Закупка товаров, работ и услуг для государственных (муниципальных) нужд</v>
      </c>
      <c r="B39" s="88" t="str">
        <f>'Таблица №10'!C50</f>
        <v>0104</v>
      </c>
      <c r="C39" s="88" t="str">
        <f>'Таблица №10'!D50</f>
        <v>01</v>
      </c>
      <c r="D39" s="88">
        <f>'Таблица №10'!E50</f>
        <v>0</v>
      </c>
      <c r="E39" s="88">
        <f>'Таблица №10'!F50</f>
        <v>200</v>
      </c>
      <c r="F39" s="73">
        <f>'Таблица №10'!G50</f>
        <v>0</v>
      </c>
      <c r="G39" s="73">
        <f>'Таблица №10'!H50</f>
        <v>50</v>
      </c>
      <c r="H39" s="73">
        <f>'Таблица №10'!I50</f>
        <v>0</v>
      </c>
      <c r="I39" s="73">
        <f>'Таблица №10'!J50</f>
        <v>50</v>
      </c>
      <c r="J39" s="73">
        <f>'Таблица №10'!K50</f>
        <v>50</v>
      </c>
    </row>
    <row r="40" spans="1:10" ht="12.75" outlineLevel="4">
      <c r="A40" s="53" t="str">
        <f>'Таблица №10'!A51</f>
        <v>Судебная система</v>
      </c>
      <c r="B40" s="88" t="str">
        <f>'Таблица №10'!C51</f>
        <v>0105</v>
      </c>
      <c r="C40" s="88"/>
      <c r="D40" s="88"/>
      <c r="E40" s="88"/>
      <c r="F40" s="73">
        <f>'Таблица №10'!G51</f>
        <v>3.4</v>
      </c>
      <c r="G40" s="73">
        <f>'Таблица №10'!H51</f>
        <v>3.4</v>
      </c>
      <c r="H40" s="73">
        <f>'Таблица №10'!I51</f>
        <v>29.2</v>
      </c>
      <c r="I40" s="73">
        <f>'Таблица №10'!J51</f>
        <v>29.2</v>
      </c>
      <c r="J40" s="73">
        <f>'Таблица №10'!K51</f>
        <v>1.8</v>
      </c>
    </row>
    <row r="41" spans="1:10" ht="36" outlineLevel="4">
      <c r="A41" s="53" t="str">
        <f>'Таблица №10'!A52</f>
        <v>Составление (изменение) списков кандидатов в присяжные заседатели федеральных судов общей юрисдикции в Российской Федерации</v>
      </c>
      <c r="B41" s="88" t="str">
        <f>'Таблица №10'!C52</f>
        <v>0105</v>
      </c>
      <c r="C41" s="88" t="str">
        <f>'Таблица №10'!D52</f>
        <v>99</v>
      </c>
      <c r="D41" s="88">
        <f>'Таблица №10'!E52</f>
        <v>0</v>
      </c>
      <c r="E41" s="88"/>
      <c r="F41" s="73">
        <f>'Таблица №10'!G52</f>
        <v>3.4</v>
      </c>
      <c r="G41" s="73">
        <f>'Таблица №10'!H52</f>
        <v>3.4</v>
      </c>
      <c r="H41" s="73">
        <f>'Таблица №10'!I52</f>
        <v>29.2</v>
      </c>
      <c r="I41" s="73">
        <f>'Таблица №10'!J52</f>
        <v>29.2</v>
      </c>
      <c r="J41" s="73">
        <f>'Таблица №10'!K52</f>
        <v>1.8</v>
      </c>
    </row>
    <row r="42" spans="1:10" ht="24" outlineLevel="4">
      <c r="A42" s="53" t="str">
        <f>'Таблица №10'!A53</f>
        <v>Непрограммные расходы органов местного самоуправления Алексеевского муниципального района</v>
      </c>
      <c r="B42" s="88" t="str">
        <f>'Таблица №10'!C53</f>
        <v>0105</v>
      </c>
      <c r="C42" s="88" t="str">
        <f>'Таблица №10'!D53</f>
        <v>99</v>
      </c>
      <c r="D42" s="88">
        <f>'Таблица №10'!E53</f>
        <v>0</v>
      </c>
      <c r="E42" s="88"/>
      <c r="F42" s="73">
        <f>'Таблица №10'!G53</f>
        <v>3.4</v>
      </c>
      <c r="G42" s="73">
        <f>'Таблица №10'!H53</f>
        <v>3.4</v>
      </c>
      <c r="H42" s="73">
        <f>'Таблица №10'!I53</f>
        <v>29.2</v>
      </c>
      <c r="I42" s="73">
        <f>'Таблица №10'!J53</f>
        <v>29.2</v>
      </c>
      <c r="J42" s="73">
        <f>'Таблица №10'!K53</f>
        <v>1.8</v>
      </c>
    </row>
    <row r="43" spans="1:10" ht="24" outlineLevel="4">
      <c r="A43" s="53" t="str">
        <f>'Таблица №10'!A54</f>
        <v>Закупка товаров, работ и услуг для государственных (муниципальных) нужд</v>
      </c>
      <c r="B43" s="88" t="str">
        <f>'Таблица №10'!C54</f>
        <v>0105</v>
      </c>
      <c r="C43" s="88" t="str">
        <f>'Таблица №10'!D54</f>
        <v>99</v>
      </c>
      <c r="D43" s="88">
        <f>'Таблица №10'!E54</f>
        <v>0</v>
      </c>
      <c r="E43" s="88">
        <f>'Таблица №10'!F54</f>
        <v>200</v>
      </c>
      <c r="F43" s="73">
        <f>'Таблица №10'!G54</f>
        <v>3.4</v>
      </c>
      <c r="G43" s="73">
        <f>'Таблица №10'!H54</f>
        <v>3.4</v>
      </c>
      <c r="H43" s="73">
        <f>'Таблица №10'!I54</f>
        <v>29.2</v>
      </c>
      <c r="I43" s="73">
        <f>'Таблица №10'!J54</f>
        <v>29.2</v>
      </c>
      <c r="J43" s="73">
        <f>'Таблица №10'!K54</f>
        <v>1.8</v>
      </c>
    </row>
    <row r="44" spans="1:10" ht="36" outlineLevel="2">
      <c r="A44" s="52" t="str">
        <f>'Таблица №10'!A20</f>
        <v>Обеспечение деятельности финансовых, налоговых и таможенных органов и органов финансового (финансово-бюджетного) надзора</v>
      </c>
      <c r="B44" s="88" t="str">
        <f>'Таблица №10'!C20</f>
        <v>0106</v>
      </c>
      <c r="C44" s="88"/>
      <c r="D44" s="88"/>
      <c r="E44" s="88"/>
      <c r="F44" s="73">
        <f>'Таблица №10'!G19</f>
        <v>-69.4</v>
      </c>
      <c r="G44" s="73">
        <f>'Таблица №10'!H19</f>
        <v>1330.6</v>
      </c>
      <c r="H44" s="73">
        <f>'Таблица №10'!I19</f>
        <v>-69.4</v>
      </c>
      <c r="I44" s="73">
        <f>'Таблица №10'!J19</f>
        <v>1330.6</v>
      </c>
      <c r="J44" s="73">
        <f>'Таблица №10'!K19</f>
        <v>1330.6</v>
      </c>
    </row>
    <row r="45" spans="1:10" ht="36" outlineLevel="2">
      <c r="A45" s="52" t="str">
        <f>'Таблица №10'!A21</f>
        <v>Непрограммные направления обеспечения деятельности органов местного самоуправления Алексеевского муниципального района</v>
      </c>
      <c r="B45" s="88" t="str">
        <f>'Таблица №10'!C21</f>
        <v>0106</v>
      </c>
      <c r="C45" s="88" t="str">
        <f>'Таблица №10'!D21</f>
        <v>90</v>
      </c>
      <c r="D45" s="88" t="str">
        <f>'Таблица №10'!E21</f>
        <v>0</v>
      </c>
      <c r="E45" s="88"/>
      <c r="F45" s="73">
        <f>'Таблица №10'!G20</f>
        <v>-69.4</v>
      </c>
      <c r="G45" s="73">
        <f>'Таблица №10'!H20</f>
        <v>1330.6</v>
      </c>
      <c r="H45" s="73">
        <f>'Таблица №10'!I20</f>
        <v>-69.4</v>
      </c>
      <c r="I45" s="73">
        <f>'Таблица №10'!J20</f>
        <v>1330.6</v>
      </c>
      <c r="J45" s="73">
        <f>'Таблица №10'!K20</f>
        <v>1330.6</v>
      </c>
    </row>
    <row r="46" spans="1:10" ht="48" outlineLevel="2">
      <c r="A46" s="52" t="str">
        <f>'Таблица №10'!A22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6" s="88" t="str">
        <f>'Таблица №10'!C22</f>
        <v>0106</v>
      </c>
      <c r="C46" s="88" t="str">
        <f>'Таблица №10'!D22</f>
        <v>90</v>
      </c>
      <c r="D46" s="88" t="str">
        <f>'Таблица №10'!E22</f>
        <v>0</v>
      </c>
      <c r="E46" s="88">
        <f>'Таблица №10'!F22</f>
        <v>100</v>
      </c>
      <c r="F46" s="73">
        <f>'Таблица №10'!G22</f>
        <v>-40</v>
      </c>
      <c r="G46" s="73">
        <f>'Таблица №10'!H22</f>
        <v>1305.1</v>
      </c>
      <c r="H46" s="73">
        <f>'Таблица №10'!I22</f>
        <v>-40</v>
      </c>
      <c r="I46" s="73">
        <f>'Таблица №10'!J22</f>
        <v>1305.1</v>
      </c>
      <c r="J46" s="73">
        <f>'Таблица №10'!K22</f>
        <v>1305.1</v>
      </c>
    </row>
    <row r="47" spans="1:10" ht="24" outlineLevel="2">
      <c r="A47" s="52" t="str">
        <f>'Таблица №10'!A23</f>
        <v>Закупка товаров, работ и услуг для государственных (муниципальных) нужд</v>
      </c>
      <c r="B47" s="88" t="str">
        <f>'Таблица №10'!C23</f>
        <v>0106</v>
      </c>
      <c r="C47" s="88" t="str">
        <f>'Таблица №10'!D23</f>
        <v>90</v>
      </c>
      <c r="D47" s="88">
        <f>'Таблица №10'!E23</f>
        <v>0</v>
      </c>
      <c r="E47" s="88">
        <f>'Таблица №10'!F23</f>
        <v>200</v>
      </c>
      <c r="F47" s="73">
        <f>'Таблица №10'!G23</f>
        <v>-29.4</v>
      </c>
      <c r="G47" s="73">
        <f>'Таблица №10'!H23</f>
        <v>20</v>
      </c>
      <c r="H47" s="73">
        <f>'Таблица №10'!I23</f>
        <v>-29.4</v>
      </c>
      <c r="I47" s="73">
        <f>'Таблица №10'!J23</f>
        <v>20</v>
      </c>
      <c r="J47" s="73">
        <f>'Таблица №10'!K23</f>
        <v>20</v>
      </c>
    </row>
    <row r="48" spans="1:10" ht="28.5" customHeight="1" outlineLevel="2">
      <c r="A48" s="52" t="str">
        <f>'Таблица №10'!A24</f>
        <v>Непрограммные расходы органов местного самоуправления Алексеевского муниципального района</v>
      </c>
      <c r="B48" s="88" t="str">
        <f>'Таблица №10'!C24</f>
        <v>0106</v>
      </c>
      <c r="C48" s="88" t="str">
        <f>'Таблица №10'!D24</f>
        <v>99</v>
      </c>
      <c r="D48" s="88">
        <f>'Таблица №10'!E24</f>
        <v>0</v>
      </c>
      <c r="E48" s="88"/>
      <c r="F48" s="73">
        <f>'Таблица №10'!G24</f>
        <v>0</v>
      </c>
      <c r="G48" s="73">
        <f>'Таблица №10'!H24</f>
        <v>5.5</v>
      </c>
      <c r="H48" s="73">
        <f>'Таблица №10'!I24</f>
        <v>0</v>
      </c>
      <c r="I48" s="73">
        <f>'Таблица №10'!J24</f>
        <v>5.5</v>
      </c>
      <c r="J48" s="73">
        <f>'Таблица №10'!K24</f>
        <v>5.5</v>
      </c>
    </row>
    <row r="49" spans="1:10" ht="12.75" outlineLevel="2">
      <c r="A49" s="52" t="str">
        <f>'Таблица №10'!A25</f>
        <v>Иные бюджетные ассигнования</v>
      </c>
      <c r="B49" s="88" t="str">
        <f>'Таблица №10'!C25</f>
        <v>0106</v>
      </c>
      <c r="C49" s="88" t="str">
        <f>'Таблица №10'!D25</f>
        <v>99</v>
      </c>
      <c r="D49" s="88">
        <f>'Таблица №10'!E25</f>
        <v>0</v>
      </c>
      <c r="E49" s="88">
        <f>'Таблица №10'!F25</f>
        <v>800</v>
      </c>
      <c r="F49" s="73">
        <f>'Таблица №10'!G25</f>
        <v>0</v>
      </c>
      <c r="G49" s="73">
        <f>'Таблица №10'!H25</f>
        <v>5.5</v>
      </c>
      <c r="H49" s="73">
        <f>'Таблица №10'!I25</f>
        <v>0</v>
      </c>
      <c r="I49" s="73">
        <f>'Таблица №10'!J25</f>
        <v>5.5</v>
      </c>
      <c r="J49" s="73">
        <f>'Таблица №10'!K25</f>
        <v>5.5</v>
      </c>
    </row>
    <row r="50" spans="1:10" ht="1.5" customHeight="1" hidden="1" outlineLevel="2">
      <c r="A50" s="52" t="str">
        <f>'Таблица №10'!A55</f>
        <v>Обеспечение проведения выборов и референдумов</v>
      </c>
      <c r="B50" s="88" t="str">
        <f>'Таблица №10'!C55</f>
        <v>0107</v>
      </c>
      <c r="C50" s="88"/>
      <c r="D50" s="88"/>
      <c r="E50" s="88"/>
      <c r="F50" s="73">
        <f>'Таблица №10'!G55</f>
        <v>0</v>
      </c>
      <c r="G50" s="73">
        <f>'Таблица №10'!H55</f>
        <v>0</v>
      </c>
      <c r="H50" s="73">
        <f>'Таблица №10'!I55</f>
        <v>0</v>
      </c>
      <c r="I50" s="73">
        <f>'Таблица №10'!J55</f>
        <v>0</v>
      </c>
      <c r="J50" s="73">
        <f>'Таблица №10'!K55</f>
        <v>0</v>
      </c>
    </row>
    <row r="51" spans="1:10" ht="0.75" customHeight="1" hidden="1" outlineLevel="2" collapsed="1">
      <c r="A51" s="52" t="str">
        <f>'Таблица №10'!A56</f>
        <v>Проведение выборов и референдумов</v>
      </c>
      <c r="B51" s="88" t="str">
        <f>'Таблица №10'!C56</f>
        <v>0107</v>
      </c>
      <c r="C51" s="88" t="str">
        <f>'Таблица №10'!D56</f>
        <v>99</v>
      </c>
      <c r="D51" s="88" t="str">
        <f>'Таблица №10'!E56</f>
        <v>0</v>
      </c>
      <c r="E51" s="88"/>
      <c r="F51" s="73">
        <f>'Таблица №10'!G56</f>
        <v>0</v>
      </c>
      <c r="G51" s="73">
        <f>'Таблица №10'!H56</f>
        <v>0</v>
      </c>
      <c r="H51" s="73">
        <f>'Таблица №10'!I56</f>
        <v>0</v>
      </c>
      <c r="I51" s="73">
        <f>'Таблица №10'!J56</f>
        <v>0</v>
      </c>
      <c r="J51" s="73">
        <f>'Таблица №10'!K56</f>
        <v>0</v>
      </c>
    </row>
    <row r="52" spans="1:10" ht="30" customHeight="1" hidden="1" outlineLevel="5">
      <c r="A52" s="52" t="str">
        <f>'Таблица №10'!A57</f>
        <v>Непрограммные расходы органов местного самоуправления Алексеевского муниципального района</v>
      </c>
      <c r="B52" s="88" t="str">
        <f>'Таблица №10'!C57</f>
        <v>0107</v>
      </c>
      <c r="C52" s="88" t="str">
        <f>'Таблица №10'!D57</f>
        <v>99</v>
      </c>
      <c r="D52" s="88" t="str">
        <f>'Таблица №10'!E57</f>
        <v>0</v>
      </c>
      <c r="E52" s="88"/>
      <c r="F52" s="73">
        <f>'Таблица №10'!G57</f>
        <v>0</v>
      </c>
      <c r="G52" s="73">
        <f>'Таблица №10'!H57</f>
        <v>0</v>
      </c>
      <c r="H52" s="73">
        <f>'Таблица №10'!I57</f>
        <v>0</v>
      </c>
      <c r="I52" s="73">
        <f>'Таблица №10'!J57</f>
        <v>0</v>
      </c>
      <c r="J52" s="73">
        <f>'Таблица №10'!K57</f>
        <v>0</v>
      </c>
    </row>
    <row r="53" spans="1:10" ht="24" hidden="1" outlineLevel="5">
      <c r="A53" s="52" t="str">
        <f>'Таблица №10'!A58</f>
        <v>Закупка товаров, работ и услуг для государственных (муниципальных) нужд</v>
      </c>
      <c r="B53" s="88" t="str">
        <f>'Таблица №10'!C58</f>
        <v>0107</v>
      </c>
      <c r="C53" s="88" t="str">
        <f>'Таблица №10'!D58</f>
        <v>99</v>
      </c>
      <c r="D53" s="88">
        <f>'Таблица №10'!E58</f>
        <v>0</v>
      </c>
      <c r="E53" s="88">
        <f>'Таблица №10'!F58</f>
        <v>200</v>
      </c>
      <c r="F53" s="73">
        <f>'Таблица №10'!G58</f>
        <v>0</v>
      </c>
      <c r="G53" s="73">
        <f>'Таблица №10'!H58</f>
        <v>0</v>
      </c>
      <c r="H53" s="73">
        <f>'Таблица №10'!I58</f>
        <v>0</v>
      </c>
      <c r="I53" s="73">
        <f>'Таблица №10'!J58</f>
        <v>0</v>
      </c>
      <c r="J53" s="73">
        <f>'Таблица №10'!K58</f>
        <v>0</v>
      </c>
    </row>
    <row r="54" spans="1:10" ht="12.75" outlineLevel="5">
      <c r="A54" s="52" t="str">
        <f>'Таблица №10'!A59</f>
        <v>Резервные фонды</v>
      </c>
      <c r="B54" s="88" t="str">
        <f>'Таблица №10'!C59</f>
        <v>0111</v>
      </c>
      <c r="C54" s="88"/>
      <c r="D54" s="88"/>
      <c r="E54" s="88"/>
      <c r="F54" s="73">
        <f>'Таблица №10'!G59</f>
        <v>0</v>
      </c>
      <c r="G54" s="73">
        <f>'Таблица №10'!H59</f>
        <v>320</v>
      </c>
      <c r="H54" s="73">
        <f>'Таблица №10'!I59</f>
        <v>0</v>
      </c>
      <c r="I54" s="73">
        <f>'Таблица №10'!J59</f>
        <v>320</v>
      </c>
      <c r="J54" s="73">
        <f>'Таблица №10'!K59</f>
        <v>320</v>
      </c>
    </row>
    <row r="55" spans="1:10" ht="28.5" customHeight="1" outlineLevel="1">
      <c r="A55" s="52" t="str">
        <f>'Таблица №10'!A60</f>
        <v>Непрограммные расходы органов местного самоуправления Алексеевского муниципального района</v>
      </c>
      <c r="B55" s="88" t="str">
        <f>'Таблица №10'!C60</f>
        <v>0111</v>
      </c>
      <c r="C55" s="88" t="str">
        <f>'Таблица №10'!D60</f>
        <v>99</v>
      </c>
      <c r="D55" s="88" t="str">
        <f>'Таблица №10'!E60</f>
        <v>0</v>
      </c>
      <c r="E55" s="88"/>
      <c r="F55" s="73">
        <f>'Таблица №10'!G60</f>
        <v>0</v>
      </c>
      <c r="G55" s="73">
        <f>'Таблица №10'!H60</f>
        <v>320</v>
      </c>
      <c r="H55" s="73">
        <f>'Таблица №10'!I60</f>
        <v>0</v>
      </c>
      <c r="I55" s="73">
        <f>'Таблица №10'!J60</f>
        <v>320</v>
      </c>
      <c r="J55" s="73">
        <f>'Таблица №10'!K60</f>
        <v>320</v>
      </c>
    </row>
    <row r="56" spans="1:10" ht="17.25" customHeight="1" outlineLevel="2">
      <c r="A56" s="52" t="str">
        <f>'Таблица №10'!A61</f>
        <v>Иные бюджетные ассигнования</v>
      </c>
      <c r="B56" s="88" t="str">
        <f>'Таблица №10'!C61</f>
        <v>0111</v>
      </c>
      <c r="C56" s="88" t="str">
        <f>'Таблица №10'!D61</f>
        <v>99</v>
      </c>
      <c r="D56" s="88" t="str">
        <f>'Таблица №10'!E61</f>
        <v>0</v>
      </c>
      <c r="E56" s="88">
        <f>'Таблица №10'!F61</f>
        <v>800</v>
      </c>
      <c r="F56" s="73">
        <f>'Таблица №10'!G61</f>
        <v>0</v>
      </c>
      <c r="G56" s="73">
        <f>'Таблица №10'!H61</f>
        <v>320</v>
      </c>
      <c r="H56" s="73">
        <f>'Таблица №10'!I61</f>
        <v>0</v>
      </c>
      <c r="I56" s="73">
        <f>'Таблица №10'!J61</f>
        <v>320</v>
      </c>
      <c r="J56" s="73">
        <f>'Таблица №10'!K61</f>
        <v>320</v>
      </c>
    </row>
    <row r="57" spans="1:10" ht="15" customHeight="1" outlineLevel="2">
      <c r="A57" s="52" t="str">
        <f>'Таблица №10'!A62</f>
        <v>Другие общегосударственные вопросы</v>
      </c>
      <c r="B57" s="88" t="str">
        <f>'Таблица №10'!C62</f>
        <v>0113</v>
      </c>
      <c r="C57" s="88"/>
      <c r="D57" s="88"/>
      <c r="E57" s="88"/>
      <c r="F57" s="73">
        <f>'Таблица №10'!G62</f>
        <v>4051.32194</v>
      </c>
      <c r="G57" s="73">
        <f>'Таблица №10'!H62</f>
        <v>29769.121939999997</v>
      </c>
      <c r="H57" s="73">
        <f>'Таблица №10'!I62</f>
        <v>9440.389000000001</v>
      </c>
      <c r="I57" s="73">
        <f>'Таблица №10'!J62</f>
        <v>37601.58900000001</v>
      </c>
      <c r="J57" s="73">
        <f>'Таблица №10'!K62</f>
        <v>42370.189</v>
      </c>
    </row>
    <row r="58" spans="1:10" ht="36" outlineLevel="2">
      <c r="A58" s="52" t="str">
        <f>'Таблица №10'!A63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58" s="88" t="str">
        <f>'Таблица №10'!C63</f>
        <v>0113</v>
      </c>
      <c r="C58" s="88" t="str">
        <f>'Таблица №10'!D63</f>
        <v>02</v>
      </c>
      <c r="D58" s="88">
        <f>'Таблица №10'!E63</f>
        <v>0</v>
      </c>
      <c r="E58" s="88"/>
      <c r="F58" s="73">
        <f>'Таблица №10'!G63</f>
        <v>0</v>
      </c>
      <c r="G58" s="73">
        <f>'Таблица №10'!H63</f>
        <v>150</v>
      </c>
      <c r="H58" s="73">
        <f>'Таблица №10'!I63</f>
        <v>0</v>
      </c>
      <c r="I58" s="73">
        <f>'Таблица №10'!J63</f>
        <v>0</v>
      </c>
      <c r="J58" s="73">
        <f>'Таблица №10'!K63</f>
        <v>0</v>
      </c>
    </row>
    <row r="59" spans="1:10" ht="36" hidden="1" outlineLevel="2">
      <c r="A59" s="52" t="str">
        <f>'Таблица №10'!A64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59" s="88" t="str">
        <f>'Таблица №10'!C64</f>
        <v>0113</v>
      </c>
      <c r="C59" s="88" t="str">
        <f>'Таблица №10'!D64</f>
        <v>02</v>
      </c>
      <c r="D59" s="88">
        <f>'Таблица №10'!E64</f>
        <v>3</v>
      </c>
      <c r="E59" s="88"/>
      <c r="F59" s="73">
        <f>'Таблица №10'!G64</f>
        <v>0</v>
      </c>
      <c r="G59" s="73">
        <f>'Таблица №10'!H64</f>
        <v>0</v>
      </c>
      <c r="H59" s="73">
        <f>'Таблица №10'!I64</f>
        <v>0</v>
      </c>
      <c r="I59" s="73">
        <f>'Таблица №10'!J64</f>
        <v>0</v>
      </c>
      <c r="J59" s="73">
        <f>'Таблица №10'!K64</f>
        <v>0</v>
      </c>
    </row>
    <row r="60" spans="1:10" ht="24" hidden="1" outlineLevel="2">
      <c r="A60" s="52" t="str">
        <f>'Таблица №10'!A65</f>
        <v>Предоставление субсидий бюджетным, автономным учреждениям и иным некоммерческим организациям</v>
      </c>
      <c r="B60" s="88" t="str">
        <f>'Таблица №10'!C65</f>
        <v>0113</v>
      </c>
      <c r="C60" s="88" t="str">
        <f>'Таблица №10'!D65</f>
        <v>02</v>
      </c>
      <c r="D60" s="88">
        <f>'Таблица №10'!E65</f>
        <v>3</v>
      </c>
      <c r="E60" s="88" t="s">
        <v>180</v>
      </c>
      <c r="F60" s="73">
        <f>'Таблица №10'!G65</f>
        <v>0</v>
      </c>
      <c r="G60" s="73">
        <f>'Таблица №10'!H65</f>
        <v>0</v>
      </c>
      <c r="H60" s="73">
        <f>'Таблица №10'!I65</f>
        <v>0</v>
      </c>
      <c r="I60" s="73">
        <f>'Таблица №10'!J65</f>
        <v>0</v>
      </c>
      <c r="J60" s="73">
        <f>'Таблица №10'!K65</f>
        <v>0</v>
      </c>
    </row>
    <row r="61" spans="1:10" ht="40.5" customHeight="1" outlineLevel="2">
      <c r="A61" s="52" t="str">
        <f>'Таблица №10'!A66</f>
        <v>Подпрограмма "Энергосбережение и повышение энергетической эффективности Алексеевского муниципального района"</v>
      </c>
      <c r="B61" s="88" t="str">
        <f>'Таблица №10'!C66</f>
        <v>0113</v>
      </c>
      <c r="C61" s="88" t="str">
        <f>'Таблица №10'!D66</f>
        <v>02</v>
      </c>
      <c r="D61" s="88">
        <f>'Таблица №10'!E66</f>
        <v>4</v>
      </c>
      <c r="E61" s="88"/>
      <c r="F61" s="73">
        <f>'Таблица №10'!G66</f>
        <v>0</v>
      </c>
      <c r="G61" s="73">
        <f>'Таблица №10'!H66</f>
        <v>150</v>
      </c>
      <c r="H61" s="73">
        <f>'Таблица №10'!I66</f>
        <v>0</v>
      </c>
      <c r="I61" s="73">
        <f>'Таблица №10'!J66</f>
        <v>0</v>
      </c>
      <c r="J61" s="73">
        <f>'Таблица №10'!K66</f>
        <v>0</v>
      </c>
    </row>
    <row r="62" spans="1:10" ht="27" customHeight="1" outlineLevel="2">
      <c r="A62" s="52" t="str">
        <f>'Таблица №10'!A67</f>
        <v>Предоставление субсидий бюджетным, автономным учреждениям и иным некоммерческим организациям</v>
      </c>
      <c r="B62" s="88" t="str">
        <f>'Таблица №10'!C67</f>
        <v>0113</v>
      </c>
      <c r="C62" s="88" t="str">
        <f>'Таблица №10'!D67</f>
        <v>02</v>
      </c>
      <c r="D62" s="88">
        <f>'Таблица №10'!E67</f>
        <v>4</v>
      </c>
      <c r="E62" s="88">
        <f>'Таблица №10'!F67</f>
        <v>600</v>
      </c>
      <c r="F62" s="73">
        <f>'Таблица №10'!G67</f>
        <v>0</v>
      </c>
      <c r="G62" s="73">
        <f>'Таблица №10'!H67</f>
        <v>150</v>
      </c>
      <c r="H62" s="73">
        <f>'Таблица №10'!I67</f>
        <v>0</v>
      </c>
      <c r="I62" s="73">
        <f>'Таблица №10'!J67</f>
        <v>0</v>
      </c>
      <c r="J62" s="73">
        <f>'Таблица №10'!K67</f>
        <v>0</v>
      </c>
    </row>
    <row r="63" spans="1:10" ht="24" outlineLevel="2">
      <c r="A63" s="52" t="str">
        <f>'Таблица №10'!A68</f>
        <v>Муниципальная программа "Маршрут Победы на 2019-2023 годы"</v>
      </c>
      <c r="B63" s="88" t="str">
        <f>'Таблица №10'!C68</f>
        <v>0113</v>
      </c>
      <c r="C63" s="88" t="str">
        <f>'Таблица №10'!D68</f>
        <v>15</v>
      </c>
      <c r="D63" s="88">
        <f>'Таблица №10'!E68</f>
        <v>0</v>
      </c>
      <c r="E63" s="88"/>
      <c r="F63" s="73">
        <f>'Таблица №10'!G68</f>
        <v>0</v>
      </c>
      <c r="G63" s="73">
        <f>'Таблица №10'!H68</f>
        <v>100</v>
      </c>
      <c r="H63" s="73">
        <f>'Таблица №10'!I68</f>
        <v>0</v>
      </c>
      <c r="I63" s="73">
        <f>'Таблица №10'!J68</f>
        <v>100</v>
      </c>
      <c r="J63" s="73">
        <f>'Таблица №10'!K68</f>
        <v>100</v>
      </c>
    </row>
    <row r="64" spans="1:10" ht="24" outlineLevel="2">
      <c r="A64" s="52" t="str">
        <f>'Таблица №10'!A69</f>
        <v>Закупка товаров, работ и услуг для государственных (муниципальных) нужд</v>
      </c>
      <c r="B64" s="88" t="str">
        <f>'Таблица №10'!C69</f>
        <v>0113</v>
      </c>
      <c r="C64" s="88" t="str">
        <f>'Таблица №10'!D69</f>
        <v>15</v>
      </c>
      <c r="D64" s="88">
        <f>'Таблица №10'!E69</f>
        <v>0</v>
      </c>
      <c r="E64" s="88">
        <f>'Таблица №10'!F69</f>
        <v>200</v>
      </c>
      <c r="F64" s="73">
        <f>'Таблица №10'!G69</f>
        <v>0</v>
      </c>
      <c r="G64" s="73">
        <f>'Таблица №10'!H69</f>
        <v>100</v>
      </c>
      <c r="H64" s="73">
        <f>'Таблица №10'!I69</f>
        <v>0</v>
      </c>
      <c r="I64" s="73">
        <f>'Таблица №10'!J69</f>
        <v>100</v>
      </c>
      <c r="J64" s="73">
        <f>'Таблица №10'!K69</f>
        <v>100</v>
      </c>
    </row>
    <row r="65" spans="1:10" ht="36" outlineLevel="2">
      <c r="A65" s="52" t="str">
        <f>'Таблица №10'!A70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65" s="88" t="str">
        <f>'Таблица №10'!C70</f>
        <v>0113</v>
      </c>
      <c r="C65" s="88" t="str">
        <f>'Таблица №10'!D70</f>
        <v>20</v>
      </c>
      <c r="D65" s="88">
        <f>'Таблица №10'!E70</f>
        <v>0</v>
      </c>
      <c r="E65" s="88"/>
      <c r="F65" s="73">
        <f>'Таблица №10'!G70</f>
        <v>0</v>
      </c>
      <c r="G65" s="73">
        <f>'Таблица №10'!H70</f>
        <v>50</v>
      </c>
      <c r="H65" s="73">
        <f>'Таблица №10'!I70</f>
        <v>0</v>
      </c>
      <c r="I65" s="73">
        <f>'Таблица №10'!J70</f>
        <v>50</v>
      </c>
      <c r="J65" s="73">
        <f>'Таблица №10'!K70</f>
        <v>50</v>
      </c>
    </row>
    <row r="66" spans="1:10" ht="15" customHeight="1" outlineLevel="2">
      <c r="A66" s="52" t="str">
        <f>'Таблица №10'!A71</f>
        <v>Подпрограмма "Профилактика правонарушений"</v>
      </c>
      <c r="B66" s="88" t="str">
        <f>'Таблица №10'!C71</f>
        <v>0113</v>
      </c>
      <c r="C66" s="88" t="str">
        <f>'Таблица №10'!D71</f>
        <v>20</v>
      </c>
      <c r="D66" s="88">
        <f>'Таблица №10'!E71</f>
        <v>1</v>
      </c>
      <c r="E66" s="88"/>
      <c r="F66" s="73">
        <f>'Таблица №10'!G71</f>
        <v>0</v>
      </c>
      <c r="G66" s="73">
        <f>'Таблица №10'!H71</f>
        <v>35</v>
      </c>
      <c r="H66" s="73">
        <f>'Таблица №10'!I71</f>
        <v>0</v>
      </c>
      <c r="I66" s="73">
        <f>'Таблица №10'!J71</f>
        <v>35</v>
      </c>
      <c r="J66" s="73">
        <f>'Таблица №10'!K71</f>
        <v>35</v>
      </c>
    </row>
    <row r="67" spans="1:10" ht="24" outlineLevel="2">
      <c r="A67" s="52" t="str">
        <f>'Таблица №10'!A72</f>
        <v>Закупка товаров, работ и услуг для государственных (муниципальных) нужд</v>
      </c>
      <c r="B67" s="88" t="str">
        <f>'Таблица №10'!C72</f>
        <v>0113</v>
      </c>
      <c r="C67" s="88" t="str">
        <f>'Таблица №10'!D72</f>
        <v>20</v>
      </c>
      <c r="D67" s="88">
        <f>'Таблица №10'!E72</f>
        <v>1</v>
      </c>
      <c r="E67" s="88">
        <f>'Таблица №10'!F72</f>
        <v>200</v>
      </c>
      <c r="F67" s="73">
        <f>'Таблица №10'!G72</f>
        <v>0</v>
      </c>
      <c r="G67" s="73">
        <f>'Таблица №10'!H72</f>
        <v>35</v>
      </c>
      <c r="H67" s="73">
        <f>'Таблица №10'!I72</f>
        <v>0</v>
      </c>
      <c r="I67" s="73">
        <f>'Таблица №10'!J72</f>
        <v>35</v>
      </c>
      <c r="J67" s="73">
        <f>'Таблица №10'!K72</f>
        <v>35</v>
      </c>
    </row>
    <row r="68" spans="1:10" ht="24" outlineLevel="2">
      <c r="A68" s="52" t="str">
        <f>'Таблица №10'!A73</f>
        <v>Подпрограмма "Формирование законопослушного поведения участников дорожного движения"</v>
      </c>
      <c r="B68" s="88" t="str">
        <f>'Таблица №10'!C73</f>
        <v>0113</v>
      </c>
      <c r="C68" s="88" t="str">
        <f>'Таблица №10'!D73</f>
        <v>20</v>
      </c>
      <c r="D68" s="88">
        <f>'Таблица №10'!E73</f>
        <v>2</v>
      </c>
      <c r="E68" s="88"/>
      <c r="F68" s="73">
        <f>'Таблица №10'!G73</f>
        <v>0</v>
      </c>
      <c r="G68" s="73">
        <f>'Таблица №10'!H73</f>
        <v>15</v>
      </c>
      <c r="H68" s="73">
        <f>'Таблица №10'!I73</f>
        <v>0</v>
      </c>
      <c r="I68" s="73">
        <f>'Таблица №10'!J73</f>
        <v>15</v>
      </c>
      <c r="J68" s="73">
        <f>'Таблица №10'!K73</f>
        <v>15</v>
      </c>
    </row>
    <row r="69" spans="1:10" ht="24" outlineLevel="2">
      <c r="A69" s="52" t="str">
        <f>'Таблица №10'!A74</f>
        <v>Закупка товаров, работ и услуг для государственных (муниципальных) нужд</v>
      </c>
      <c r="B69" s="88" t="str">
        <f>'Таблица №10'!C74</f>
        <v>0113</v>
      </c>
      <c r="C69" s="88" t="str">
        <f>'Таблица №10'!D74</f>
        <v>20</v>
      </c>
      <c r="D69" s="88">
        <f>'Таблица №10'!E74</f>
        <v>2</v>
      </c>
      <c r="E69" s="88">
        <f>'Таблица №10'!F74</f>
        <v>200</v>
      </c>
      <c r="F69" s="73">
        <f>'Таблица №10'!G74</f>
        <v>0</v>
      </c>
      <c r="G69" s="73">
        <f>'Таблица №10'!H74</f>
        <v>15</v>
      </c>
      <c r="H69" s="73">
        <f>'Таблица №10'!I74</f>
        <v>0</v>
      </c>
      <c r="I69" s="73">
        <f>'Таблица №10'!J74</f>
        <v>15</v>
      </c>
      <c r="J69" s="73">
        <f>'Таблица №10'!K74</f>
        <v>15</v>
      </c>
    </row>
    <row r="70" spans="1:10" ht="36" hidden="1" outlineLevel="2">
      <c r="A70" s="52" t="str">
        <f>'Таблица №10'!A75</f>
        <v>Муниципальная программа "Улучшение условий и охраны труда в Алексеевском муниципальном районе на 2017-2019 годы"</v>
      </c>
      <c r="B70" s="88" t="str">
        <f>'Таблица №10'!C75</f>
        <v>0113</v>
      </c>
      <c r="C70" s="88" t="str">
        <f>'Таблица №10'!D75</f>
        <v>21</v>
      </c>
      <c r="D70" s="88">
        <f>'Таблица №10'!E75</f>
        <v>0</v>
      </c>
      <c r="E70" s="88"/>
      <c r="F70" s="73">
        <f>'Таблица №10'!G75</f>
        <v>0</v>
      </c>
      <c r="G70" s="73">
        <f>'Таблица №10'!H75</f>
        <v>0</v>
      </c>
      <c r="H70" s="73">
        <f>'Таблица №10'!I75</f>
        <v>0</v>
      </c>
      <c r="I70" s="73">
        <f>'Таблица №10'!J75</f>
        <v>0</v>
      </c>
      <c r="J70" s="73">
        <f>'Таблица №10'!K75</f>
        <v>0</v>
      </c>
    </row>
    <row r="71" spans="1:10" ht="24" hidden="1" outlineLevel="2">
      <c r="A71" s="52" t="str">
        <f>'Таблица №10'!A76</f>
        <v>Закупка товаров, работ и услуг для государственных (муниципальных) нужд</v>
      </c>
      <c r="B71" s="88" t="str">
        <f>'Таблица №10'!C76</f>
        <v>0113</v>
      </c>
      <c r="C71" s="88" t="str">
        <f>'Таблица №10'!D76</f>
        <v>21</v>
      </c>
      <c r="D71" s="88">
        <f>'Таблица №10'!E76</f>
        <v>0</v>
      </c>
      <c r="E71" s="88">
        <f>'Таблица №10'!F76</f>
        <v>200</v>
      </c>
      <c r="F71" s="73">
        <f>'Таблица №10'!G76</f>
        <v>0</v>
      </c>
      <c r="G71" s="73">
        <f>'Таблица №10'!H76</f>
        <v>0</v>
      </c>
      <c r="H71" s="73">
        <f>'Таблица №10'!I76</f>
        <v>0</v>
      </c>
      <c r="I71" s="73">
        <f>'Таблица №10'!J76</f>
        <v>0</v>
      </c>
      <c r="J71" s="73">
        <f>'Таблица №10'!K76</f>
        <v>0</v>
      </c>
    </row>
    <row r="72" spans="1:10" ht="36" outlineLevel="2">
      <c r="A72" s="52" t="str">
        <f>'Таблица №10'!A77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72" s="88" t="str">
        <f>'Таблица №10'!C77</f>
        <v>0113</v>
      </c>
      <c r="C72" s="88" t="str">
        <f>'Таблица №10'!D77</f>
        <v>23</v>
      </c>
      <c r="D72" s="88">
        <f>'Таблица №10'!E77</f>
        <v>0</v>
      </c>
      <c r="E72" s="88"/>
      <c r="F72" s="73">
        <f>'Таблица №10'!G77</f>
        <v>0</v>
      </c>
      <c r="G72" s="73">
        <f>'Таблица №10'!H77</f>
        <v>50</v>
      </c>
      <c r="H72" s="73">
        <f>'Таблица №10'!I77</f>
        <v>0</v>
      </c>
      <c r="I72" s="73">
        <f>'Таблица №10'!J77</f>
        <v>50</v>
      </c>
      <c r="J72" s="73">
        <f>'Таблица №10'!K77</f>
        <v>50</v>
      </c>
    </row>
    <row r="73" spans="1:10" ht="24" outlineLevel="2">
      <c r="A73" s="52" t="str">
        <f>'Таблица №10'!A78</f>
        <v>Закупка товаров, работ и услуг для государственных (муниципальных) нужд</v>
      </c>
      <c r="B73" s="88" t="str">
        <f>'Таблица №10'!C78</f>
        <v>0113</v>
      </c>
      <c r="C73" s="88" t="str">
        <f>'Таблица №10'!D78</f>
        <v>23</v>
      </c>
      <c r="D73" s="88">
        <f>'Таблица №10'!E78</f>
        <v>0</v>
      </c>
      <c r="E73" s="88">
        <f>'Таблица №10'!F78</f>
        <v>200</v>
      </c>
      <c r="F73" s="73">
        <f>'Таблица №10'!G78</f>
        <v>0</v>
      </c>
      <c r="G73" s="73">
        <f>'Таблица №10'!H78</f>
        <v>50</v>
      </c>
      <c r="H73" s="73">
        <f>'Таблица №10'!I78</f>
        <v>0</v>
      </c>
      <c r="I73" s="73">
        <f>'Таблица №10'!J78</f>
        <v>50</v>
      </c>
      <c r="J73" s="73">
        <f>'Таблица №10'!K78</f>
        <v>50</v>
      </c>
    </row>
    <row r="74" spans="1:10" ht="60" outlineLevel="2">
      <c r="A74" s="52" t="str">
        <f>'Таблица №10'!A79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2019-2021 годы"</v>
      </c>
      <c r="B74" s="88" t="str">
        <f>'Таблица №10'!C79</f>
        <v>0113</v>
      </c>
      <c r="C74" s="88" t="str">
        <f>'Таблица №10'!D79</f>
        <v>51</v>
      </c>
      <c r="D74" s="88">
        <f>'Таблица №10'!E79</f>
        <v>0</v>
      </c>
      <c r="E74" s="88"/>
      <c r="F74" s="73">
        <f>'Таблица №10'!G79</f>
        <v>5020</v>
      </c>
      <c r="G74" s="73">
        <f>'Таблица №10'!H79</f>
        <v>25020</v>
      </c>
      <c r="H74" s="73">
        <f>'Таблица №10'!I79</f>
        <v>11020</v>
      </c>
      <c r="I74" s="73">
        <f>'Таблица №10'!J79</f>
        <v>31020</v>
      </c>
      <c r="J74" s="73">
        <f>'Таблица №10'!K79</f>
        <v>31020</v>
      </c>
    </row>
    <row r="75" spans="1:10" ht="24" outlineLevel="2">
      <c r="A75" s="52" t="str">
        <f>'Таблица №10'!A80</f>
        <v>Предоставление субсидий бюджетным, автономным учреждениям и иным некоммерческим организациям</v>
      </c>
      <c r="B75" s="88" t="str">
        <f>'Таблица №10'!C80</f>
        <v>0113</v>
      </c>
      <c r="C75" s="88" t="str">
        <f>'Таблица №10'!D80</f>
        <v>51</v>
      </c>
      <c r="D75" s="88">
        <f>'Таблица №10'!E80</f>
        <v>0</v>
      </c>
      <c r="E75" s="88">
        <f>'Таблица №10'!F80</f>
        <v>600</v>
      </c>
      <c r="F75" s="73">
        <f>'Таблица №10'!G80</f>
        <v>4000</v>
      </c>
      <c r="G75" s="73">
        <f>'Таблица №10'!H80</f>
        <v>24000</v>
      </c>
      <c r="H75" s="73">
        <f>'Таблица №10'!I80</f>
        <v>10000</v>
      </c>
      <c r="I75" s="73">
        <f>'Таблица №10'!J80</f>
        <v>30000</v>
      </c>
      <c r="J75" s="73">
        <f>'Таблица №10'!K80</f>
        <v>30000</v>
      </c>
    </row>
    <row r="76" spans="1:10" ht="51.75" customHeight="1" outlineLevel="2">
      <c r="A76" s="52" t="str">
        <f>'Таблица №10'!A81</f>
        <v>Предоставление субсидий бюджетным, автономным учреждениям и иным некоммерческим организациям (мероприятия по обеспечению персонифицированного финансирования)</v>
      </c>
      <c r="B76" s="88" t="str">
        <f>'Таблица №10'!C81</f>
        <v>0113</v>
      </c>
      <c r="C76" s="88" t="str">
        <f>'Таблица №10'!D81</f>
        <v>51</v>
      </c>
      <c r="D76" s="88">
        <f>'Таблица №10'!E81</f>
        <v>0</v>
      </c>
      <c r="E76" s="88">
        <f>'Таблица №10'!F81</f>
        <v>600</v>
      </c>
      <c r="F76" s="73">
        <f>'Таблица №10'!G81</f>
        <v>1020</v>
      </c>
      <c r="G76" s="73">
        <f>'Таблица №10'!H81</f>
        <v>1020</v>
      </c>
      <c r="H76" s="73">
        <f>'Таблица №10'!I81</f>
        <v>1020</v>
      </c>
      <c r="I76" s="73">
        <f>'Таблица №10'!J81</f>
        <v>1020</v>
      </c>
      <c r="J76" s="73">
        <f>'Таблица №10'!K81</f>
        <v>1020</v>
      </c>
    </row>
    <row r="77" spans="1:10" ht="12.75" outlineLevel="2">
      <c r="A77" s="52" t="str">
        <f>'Таблица №10'!A82</f>
        <v>Государственная регистрация актов гражданского состояния</v>
      </c>
      <c r="B77" s="88" t="str">
        <f>'Таблица №10'!C82</f>
        <v>0113</v>
      </c>
      <c r="C77" s="88">
        <f>'Таблица №10'!D82</f>
        <v>0</v>
      </c>
      <c r="D77" s="88">
        <f>'Таблица №10'!E82</f>
        <v>0</v>
      </c>
      <c r="E77" s="88"/>
      <c r="F77" s="73">
        <f>'Таблица №10'!G82</f>
        <v>-40.60000000000001</v>
      </c>
      <c r="G77" s="73">
        <f>'Таблица №10'!H82</f>
        <v>1139.5</v>
      </c>
      <c r="H77" s="73">
        <f>'Таблица №10'!I82</f>
        <v>-72.5</v>
      </c>
      <c r="I77" s="73">
        <f>'Таблица №10'!J82</f>
        <v>1134.9</v>
      </c>
      <c r="J77" s="73">
        <f>'Таблица №10'!K82</f>
        <v>1171.1</v>
      </c>
    </row>
    <row r="78" spans="1:10" ht="36" outlineLevel="2">
      <c r="A78" s="52" t="str">
        <f>'Таблица №10'!A83</f>
        <v>Непрограммные направления обеспечения деятельности органов местного самоуправления Алексеевского муниципального района</v>
      </c>
      <c r="B78" s="88" t="str">
        <f>'Таблица №10'!C83</f>
        <v>0113</v>
      </c>
      <c r="C78" s="88" t="str">
        <f>'Таблица №10'!D83</f>
        <v>90</v>
      </c>
      <c r="D78" s="88">
        <f>'Таблица №10'!E83</f>
        <v>0</v>
      </c>
      <c r="E78" s="88"/>
      <c r="F78" s="73">
        <f>'Таблица №10'!G83</f>
        <v>-40.60000000000001</v>
      </c>
      <c r="G78" s="73">
        <f>'Таблица №10'!H83</f>
        <v>1139.5</v>
      </c>
      <c r="H78" s="73">
        <f>'Таблица №10'!I83</f>
        <v>-72.5</v>
      </c>
      <c r="I78" s="73">
        <f>'Таблица №10'!J83</f>
        <v>1134.9</v>
      </c>
      <c r="J78" s="73">
        <f>'Таблица №10'!K83</f>
        <v>1171.1</v>
      </c>
    </row>
    <row r="79" spans="1:10" ht="48" outlineLevel="2">
      <c r="A79" s="52" t="str">
        <f>'Таблица №10'!A84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79" s="88" t="str">
        <f>'Таблица №10'!C84</f>
        <v>0113</v>
      </c>
      <c r="C79" s="88" t="str">
        <f>'Таблица №10'!D84</f>
        <v>90</v>
      </c>
      <c r="D79" s="88" t="str">
        <f>'Таблица №10'!E84</f>
        <v>0</v>
      </c>
      <c r="E79" s="88">
        <f>'Таблица №10'!F84</f>
        <v>100</v>
      </c>
      <c r="F79" s="73">
        <f>'Таблица №10'!G84</f>
        <v>27.3</v>
      </c>
      <c r="G79" s="73">
        <f>'Таблица №10'!H84</f>
        <v>990.2</v>
      </c>
      <c r="H79" s="73">
        <f>'Таблица №10'!I84</f>
        <v>0</v>
      </c>
      <c r="I79" s="73">
        <f>'Таблица №10'!J84</f>
        <v>990.2</v>
      </c>
      <c r="J79" s="73">
        <f>'Таблица №10'!K84</f>
        <v>990.2</v>
      </c>
    </row>
    <row r="80" spans="1:10" ht="24" outlineLevel="2">
      <c r="A80" s="52" t="str">
        <f>'Таблица №10'!A85</f>
        <v>Закупка товаров, работ и услуг для государственных (муниципальных) нужд</v>
      </c>
      <c r="B80" s="88" t="str">
        <f>'Таблица №10'!C85</f>
        <v>0113</v>
      </c>
      <c r="C80" s="88" t="str">
        <f>'Таблица №10'!D85</f>
        <v>90</v>
      </c>
      <c r="D80" s="88" t="str">
        <f>'Таблица №10'!E85</f>
        <v>0</v>
      </c>
      <c r="E80" s="88">
        <f>'Таблица №10'!F85</f>
        <v>200</v>
      </c>
      <c r="F80" s="73">
        <f>'Таблица №10'!G85</f>
        <v>-67.9</v>
      </c>
      <c r="G80" s="73">
        <f>'Таблица №10'!H85</f>
        <v>149.29999999999998</v>
      </c>
      <c r="H80" s="73">
        <f>'Таблица №10'!I85</f>
        <v>-72.5</v>
      </c>
      <c r="I80" s="73">
        <f>'Таблица №10'!J85</f>
        <v>144.7</v>
      </c>
      <c r="J80" s="73">
        <f>'Таблица №10'!K85</f>
        <v>180.89999999999998</v>
      </c>
    </row>
    <row r="81" spans="1:10" ht="26.25" customHeight="1" outlineLevel="2">
      <c r="A81" s="52" t="str">
        <f>'Таблица №10'!A86</f>
        <v>Оценка недвижимости, признание прав и регулирование отношений по муниципальной собственности</v>
      </c>
      <c r="B81" s="88" t="str">
        <f>'Таблица №10'!C86</f>
        <v>0113</v>
      </c>
      <c r="C81" s="88" t="str">
        <f>'Таблица №10'!D86</f>
        <v>99</v>
      </c>
      <c r="D81" s="88">
        <f>'Таблица №10'!E86</f>
        <v>0</v>
      </c>
      <c r="E81" s="88"/>
      <c r="F81" s="73">
        <f>'Таблица №10'!G86</f>
        <v>0</v>
      </c>
      <c r="G81" s="73">
        <f>'Таблица №10'!H86</f>
        <v>100</v>
      </c>
      <c r="H81" s="73">
        <f>'Таблица №10'!I86</f>
        <v>0</v>
      </c>
      <c r="I81" s="73">
        <f>'Таблица №10'!J86</f>
        <v>100</v>
      </c>
      <c r="J81" s="73">
        <f>'Таблица №10'!K86</f>
        <v>100</v>
      </c>
    </row>
    <row r="82" spans="1:10" ht="24.75" customHeight="1" outlineLevel="2">
      <c r="A82" s="52" t="str">
        <f>'Таблица №10'!A87</f>
        <v>Непрограммные расходы органов местного самоуправления Алексеевского муниципального района</v>
      </c>
      <c r="B82" s="88" t="str">
        <f>'Таблица №10'!C87</f>
        <v>0113</v>
      </c>
      <c r="C82" s="88" t="str">
        <f>'Таблица №10'!D87</f>
        <v>99</v>
      </c>
      <c r="D82" s="88" t="str">
        <f>'Таблица №10'!E87</f>
        <v>0</v>
      </c>
      <c r="E82" s="88"/>
      <c r="F82" s="73">
        <f>'Таблица №10'!G87</f>
        <v>0</v>
      </c>
      <c r="G82" s="73">
        <f>'Таблица №10'!H87</f>
        <v>100</v>
      </c>
      <c r="H82" s="73">
        <f>'Таблица №10'!I87</f>
        <v>0</v>
      </c>
      <c r="I82" s="73">
        <f>'Таблица №10'!J87</f>
        <v>100</v>
      </c>
      <c r="J82" s="73">
        <f>'Таблица №10'!K87</f>
        <v>100</v>
      </c>
    </row>
    <row r="83" spans="1:10" ht="24.75" customHeight="1" outlineLevel="2">
      <c r="A83" s="52" t="str">
        <f>'Таблица №10'!A88</f>
        <v>Закупка товаров, работ и услуг для государственных (муниципальных) нужд</v>
      </c>
      <c r="B83" s="88" t="str">
        <f>'Таблица №10'!C88</f>
        <v>0113</v>
      </c>
      <c r="C83" s="88" t="str">
        <f>'Таблица №10'!D88</f>
        <v>99</v>
      </c>
      <c r="D83" s="88" t="str">
        <f>'Таблица №10'!E88</f>
        <v>0</v>
      </c>
      <c r="E83" s="88">
        <f>'Таблица №10'!F88</f>
        <v>200</v>
      </c>
      <c r="F83" s="73">
        <f>'Таблица №10'!G88</f>
        <v>0</v>
      </c>
      <c r="G83" s="73">
        <f>'Таблица №10'!H88</f>
        <v>100</v>
      </c>
      <c r="H83" s="73">
        <f>'Таблица №10'!I88</f>
        <v>0</v>
      </c>
      <c r="I83" s="73">
        <f>'Таблица №10'!J88</f>
        <v>100</v>
      </c>
      <c r="J83" s="73">
        <f>'Таблица №10'!K88</f>
        <v>100</v>
      </c>
    </row>
    <row r="84" spans="1:10" ht="24" outlineLevel="5">
      <c r="A84" s="52" t="str">
        <f>'Таблица №10'!A89</f>
        <v>Реализация государственных функций, связанных с общегосударственным управлением</v>
      </c>
      <c r="B84" s="88" t="str">
        <f>'Таблица №10'!C89</f>
        <v>0113</v>
      </c>
      <c r="C84" s="88" t="str">
        <f>'Таблица №10'!D89</f>
        <v>99</v>
      </c>
      <c r="D84" s="88">
        <f>'Таблица №10'!E89</f>
        <v>0</v>
      </c>
      <c r="E84" s="88"/>
      <c r="F84" s="73">
        <f>'Таблица №10'!G89</f>
        <v>1776.42194</v>
      </c>
      <c r="G84" s="73">
        <f>'Таблица №10'!H89</f>
        <v>2896.02194</v>
      </c>
      <c r="H84" s="73">
        <f>'Таблица №10'!I89</f>
        <v>795.789</v>
      </c>
      <c r="I84" s="73">
        <f>'Таблица №10'!J89</f>
        <v>1521.3890000000001</v>
      </c>
      <c r="J84" s="73">
        <f>'Таблица №10'!K89</f>
        <v>2487.089</v>
      </c>
    </row>
    <row r="85" spans="1:10" ht="25.5" customHeight="1" outlineLevel="5">
      <c r="A85" s="52" t="str">
        <f>'Таблица №10'!A90</f>
        <v>Непрограммные расходы органов местного самоуправления Алексеевского муниципального района</v>
      </c>
      <c r="B85" s="88" t="str">
        <f>'Таблица №10'!C90</f>
        <v>0113</v>
      </c>
      <c r="C85" s="88" t="str">
        <f>'Таблица №10'!D90</f>
        <v>99</v>
      </c>
      <c r="D85" s="88" t="str">
        <f>'Таблица №10'!E90</f>
        <v>0</v>
      </c>
      <c r="E85" s="88"/>
      <c r="F85" s="73">
        <f>'Таблица №10'!G90</f>
        <v>1776.42194</v>
      </c>
      <c r="G85" s="73">
        <f>'Таблица №10'!H90</f>
        <v>2896.02194</v>
      </c>
      <c r="H85" s="73">
        <f>'Таблица №10'!I90</f>
        <v>795.789</v>
      </c>
      <c r="I85" s="73">
        <f>'Таблица №10'!J90</f>
        <v>1521.3890000000001</v>
      </c>
      <c r="J85" s="73">
        <f>'Таблица №10'!K90</f>
        <v>2487.089</v>
      </c>
    </row>
    <row r="86" spans="1:10" ht="24" outlineLevel="5">
      <c r="A86" s="52" t="str">
        <f>'Таблица №10'!A91</f>
        <v>Закупка товаров, работ и услуг для государственных (муниципальных) нужд</v>
      </c>
      <c r="B86" s="88" t="str">
        <f>'Таблица №10'!C91</f>
        <v>0113</v>
      </c>
      <c r="C86" s="88" t="str">
        <f>'Таблица №10'!D91</f>
        <v>99</v>
      </c>
      <c r="D86" s="88">
        <f>'Таблица №10'!E91</f>
        <v>0</v>
      </c>
      <c r="E86" s="88">
        <f>'Таблица №10'!F91</f>
        <v>200</v>
      </c>
      <c r="F86" s="73">
        <f>'Таблица №10'!G91</f>
        <v>500.42194</v>
      </c>
      <c r="G86" s="73">
        <f>'Таблица №10'!H91</f>
        <v>1465.02194</v>
      </c>
      <c r="H86" s="73">
        <f>'Таблица №10'!I91</f>
        <v>487.789</v>
      </c>
      <c r="I86" s="73">
        <f>'Таблица №10'!J91</f>
        <v>1058.3890000000001</v>
      </c>
      <c r="J86" s="73">
        <f>'Таблица №10'!K91</f>
        <v>1056.0890000000002</v>
      </c>
    </row>
    <row r="87" spans="1:10" ht="12.75" outlineLevel="5">
      <c r="A87" s="52" t="str">
        <f>'Таблица №10'!A92</f>
        <v>Иные бюджетные ассигнования</v>
      </c>
      <c r="B87" s="88" t="str">
        <f>'Таблица №10'!C92</f>
        <v>0113</v>
      </c>
      <c r="C87" s="88" t="str">
        <f>'Таблица №10'!D92</f>
        <v>99</v>
      </c>
      <c r="D87" s="88">
        <f>'Таблица №10'!E92</f>
        <v>0</v>
      </c>
      <c r="E87" s="88">
        <f>'Таблица №10'!F92</f>
        <v>800</v>
      </c>
      <c r="F87" s="73">
        <f>'Таблица №10'!G92</f>
        <v>1276</v>
      </c>
      <c r="G87" s="73">
        <f>'Таблица №10'!H92</f>
        <v>1431</v>
      </c>
      <c r="H87" s="73">
        <f>'Таблица №10'!I92</f>
        <v>308</v>
      </c>
      <c r="I87" s="73">
        <f>'Таблица №10'!J92</f>
        <v>463</v>
      </c>
      <c r="J87" s="73">
        <f>'Таблица №10'!K92</f>
        <v>1431</v>
      </c>
    </row>
    <row r="88" spans="1:10" ht="24" outlineLevel="5">
      <c r="A88" s="52" t="str">
        <f>'Таблица №10'!A93</f>
        <v>Осуществление полномочий по подготовке и проведению переписи в 2021 году</v>
      </c>
      <c r="B88" s="88" t="str">
        <f>'Таблица №10'!C93</f>
        <v>0113</v>
      </c>
      <c r="C88" s="88" t="str">
        <f>'Таблица №10'!D93</f>
        <v>99</v>
      </c>
      <c r="D88" s="88">
        <f>'Таблица №10'!E93</f>
        <v>0</v>
      </c>
      <c r="E88" s="88"/>
      <c r="F88" s="73">
        <f>'Таблица №10'!G93</f>
        <v>263.6</v>
      </c>
      <c r="G88" s="73">
        <f>'Таблица №10'!H93</f>
        <v>263.6</v>
      </c>
      <c r="H88" s="73">
        <f>'Таблица №10'!I93</f>
        <v>0</v>
      </c>
      <c r="I88" s="73">
        <f>'Таблица №10'!J93</f>
        <v>0</v>
      </c>
      <c r="J88" s="73">
        <f>'Таблица №10'!K93</f>
        <v>0</v>
      </c>
    </row>
    <row r="89" spans="1:10" ht="24" outlineLevel="5">
      <c r="A89" s="52" t="str">
        <f>'Таблица №10'!A94</f>
        <v>Непрограммные расходы органов местного самоуправления Алексеевского муниципального района</v>
      </c>
      <c r="B89" s="88" t="str">
        <f>'Таблица №10'!C94</f>
        <v>0113</v>
      </c>
      <c r="C89" s="88" t="str">
        <f>'Таблица №10'!D94</f>
        <v>99</v>
      </c>
      <c r="D89" s="88" t="str">
        <f>'Таблица №10'!E94</f>
        <v>0</v>
      </c>
      <c r="E89" s="88"/>
      <c r="F89" s="73">
        <f>'Таблица №10'!G94</f>
        <v>263.6</v>
      </c>
      <c r="G89" s="73">
        <f>'Таблица №10'!H94</f>
        <v>263.6</v>
      </c>
      <c r="H89" s="73">
        <f>'Таблица №10'!I94</f>
        <v>0</v>
      </c>
      <c r="I89" s="73">
        <f>'Таблица №10'!J94</f>
        <v>0</v>
      </c>
      <c r="J89" s="73">
        <f>'Таблица №10'!K94</f>
        <v>0</v>
      </c>
    </row>
    <row r="90" spans="1:10" ht="24" outlineLevel="5">
      <c r="A90" s="52" t="str">
        <f>'Таблица №10'!A95</f>
        <v>Закупка товаров, работ и услуг для государственных (муниципальных) нужд</v>
      </c>
      <c r="B90" s="88" t="str">
        <f>'Таблица №10'!C95</f>
        <v>0113</v>
      </c>
      <c r="C90" s="88" t="str">
        <f>'Таблица №10'!D95</f>
        <v>99</v>
      </c>
      <c r="D90" s="88">
        <f>'Таблица №10'!E95</f>
        <v>0</v>
      </c>
      <c r="E90" s="88">
        <f>'Таблица №10'!F95</f>
        <v>200</v>
      </c>
      <c r="F90" s="73">
        <f>'Таблица №10'!G95</f>
        <v>263.6</v>
      </c>
      <c r="G90" s="73">
        <f>'Таблица №10'!H95</f>
        <v>263.6</v>
      </c>
      <c r="H90" s="73">
        <f>'Таблица №10'!I95</f>
        <v>0</v>
      </c>
      <c r="I90" s="73">
        <f>'Таблица №10'!J95</f>
        <v>0</v>
      </c>
      <c r="J90" s="73">
        <f>'Таблица №10'!K95</f>
        <v>0</v>
      </c>
    </row>
    <row r="91" spans="1:10" ht="12.75" outlineLevel="5">
      <c r="A91" s="52" t="str">
        <f>'Таблица №10'!A96</f>
        <v>Условно утвержденные расходы</v>
      </c>
      <c r="B91" s="88" t="str">
        <f>'Таблица №10'!C96</f>
        <v>0113</v>
      </c>
      <c r="C91" s="88" t="str">
        <f>'Таблица №10'!D96</f>
        <v>99</v>
      </c>
      <c r="D91" s="88">
        <f>'Таблица №10'!E96</f>
        <v>0</v>
      </c>
      <c r="E91" s="88" t="s">
        <v>152</v>
      </c>
      <c r="F91" s="73">
        <f>'Таблица №10'!G96</f>
        <v>-2968.1</v>
      </c>
      <c r="G91" s="73">
        <f>'Таблица №10'!H96</f>
        <v>0</v>
      </c>
      <c r="H91" s="73">
        <f>'Таблица №10'!I96</f>
        <v>-2302.9</v>
      </c>
      <c r="I91" s="73">
        <f>'Таблица №10'!J96</f>
        <v>3625.3</v>
      </c>
      <c r="J91" s="73">
        <f>'Таблица №10'!K96</f>
        <v>7392</v>
      </c>
    </row>
    <row r="92" spans="1:10" ht="12.75" outlineLevel="5">
      <c r="A92" s="52" t="str">
        <f>'Таблица №10'!A97</f>
        <v>Национальная оборона </v>
      </c>
      <c r="B92" s="88" t="str">
        <f>'Таблица №10'!C97</f>
        <v>0200</v>
      </c>
      <c r="C92" s="88"/>
      <c r="D92" s="88"/>
      <c r="E92" s="88"/>
      <c r="F92" s="73">
        <f>'Таблица №10'!G97</f>
        <v>300</v>
      </c>
      <c r="G92" s="73">
        <f>'Таблица №10'!H97</f>
        <v>320</v>
      </c>
      <c r="H92" s="73">
        <f>'Таблица №10'!I97</f>
        <v>0</v>
      </c>
      <c r="I92" s="73">
        <f>'Таблица №10'!J97</f>
        <v>20</v>
      </c>
      <c r="J92" s="73">
        <f>'Таблица №10'!K97</f>
        <v>20</v>
      </c>
    </row>
    <row r="93" spans="1:10" ht="12.75" outlineLevel="5">
      <c r="A93" s="52" t="str">
        <f>'Таблица №10'!A98</f>
        <v>Мобилизационная подготовка экономики</v>
      </c>
      <c r="B93" s="88" t="str">
        <f>'Таблица №10'!C98</f>
        <v>0204</v>
      </c>
      <c r="C93" s="88"/>
      <c r="D93" s="88"/>
      <c r="E93" s="88"/>
      <c r="F93" s="73">
        <f>'Таблица №10'!G98</f>
        <v>300</v>
      </c>
      <c r="G93" s="73">
        <f>'Таблица №10'!H98</f>
        <v>320</v>
      </c>
      <c r="H93" s="73">
        <f>'Таблица №10'!I98</f>
        <v>0</v>
      </c>
      <c r="I93" s="73">
        <f>'Таблица №10'!J98</f>
        <v>20</v>
      </c>
      <c r="J93" s="73">
        <f>'Таблица №10'!K98</f>
        <v>20</v>
      </c>
    </row>
    <row r="94" spans="1:10" ht="24" outlineLevel="2">
      <c r="A94" s="52" t="str">
        <f>'Таблица №10'!A99</f>
        <v>Мероприятия по обеспечению мобилизационной готовности экономики</v>
      </c>
      <c r="B94" s="88" t="str">
        <f>'Таблица №10'!C99</f>
        <v>0204</v>
      </c>
      <c r="C94" s="88"/>
      <c r="D94" s="88"/>
      <c r="E94" s="88"/>
      <c r="F94" s="73">
        <f>'Таблица №10'!G99</f>
        <v>300</v>
      </c>
      <c r="G94" s="73">
        <f>'Таблица №10'!H99</f>
        <v>320</v>
      </c>
      <c r="H94" s="73">
        <f>'Таблица №10'!I99</f>
        <v>0</v>
      </c>
      <c r="I94" s="73">
        <f>'Таблица №10'!J99</f>
        <v>20</v>
      </c>
      <c r="J94" s="73">
        <f>'Таблица №10'!K99</f>
        <v>20</v>
      </c>
    </row>
    <row r="95" spans="1:10" ht="24.75" customHeight="1" outlineLevel="5">
      <c r="A95" s="52" t="str">
        <f>'Таблица №10'!A100</f>
        <v>Непрограммные расходы органов местного самоуправления Алексеевского муниципального района</v>
      </c>
      <c r="B95" s="88" t="str">
        <f>'Таблица №10'!C100</f>
        <v>0204</v>
      </c>
      <c r="C95" s="88" t="str">
        <f>'Таблица №10'!D100</f>
        <v>99</v>
      </c>
      <c r="D95" s="88">
        <f>'Таблица №10'!E100</f>
        <v>0</v>
      </c>
      <c r="E95" s="88"/>
      <c r="F95" s="73">
        <f>'Таблица №10'!G100</f>
        <v>300</v>
      </c>
      <c r="G95" s="73">
        <f>'Таблица №10'!H100</f>
        <v>320</v>
      </c>
      <c r="H95" s="73">
        <f>'Таблица №10'!I100</f>
        <v>0</v>
      </c>
      <c r="I95" s="73">
        <f>'Таблица №10'!J100</f>
        <v>20</v>
      </c>
      <c r="J95" s="73">
        <f>'Таблица №10'!K100</f>
        <v>20</v>
      </c>
    </row>
    <row r="96" spans="1:10" ht="24.75" customHeight="1" outlineLevel="5">
      <c r="A96" s="52" t="str">
        <f>'Таблица №10'!A101</f>
        <v>Закупка товаров, работ и услуг для государственных (муниципальных) нужд</v>
      </c>
      <c r="B96" s="88" t="str">
        <f>'Таблица №10'!C101</f>
        <v>0204</v>
      </c>
      <c r="C96" s="88" t="str">
        <f>'Таблица №10'!D101</f>
        <v>99</v>
      </c>
      <c r="D96" s="88">
        <f>'Таблица №10'!E101</f>
        <v>0</v>
      </c>
      <c r="E96" s="88">
        <f>'Таблица №10'!F101</f>
        <v>200</v>
      </c>
      <c r="F96" s="73">
        <f>'Таблица №10'!G101</f>
        <v>300</v>
      </c>
      <c r="G96" s="73">
        <f>'Таблица №10'!H101</f>
        <v>320</v>
      </c>
      <c r="H96" s="73">
        <f>'Таблица №10'!I101</f>
        <v>0</v>
      </c>
      <c r="I96" s="73">
        <f>'Таблица №10'!J101</f>
        <v>20</v>
      </c>
      <c r="J96" s="73">
        <f>'Таблица №10'!K101</f>
        <v>20</v>
      </c>
    </row>
    <row r="97" spans="1:10" ht="24" outlineLevel="5">
      <c r="A97" s="52" t="str">
        <f>'Таблица №10'!A102</f>
        <v>Национальная безопасность и правоохранительная деятельность</v>
      </c>
      <c r="B97" s="88" t="str">
        <f>'Таблица №10'!C102</f>
        <v>0300</v>
      </c>
      <c r="C97" s="88"/>
      <c r="D97" s="88"/>
      <c r="E97" s="88"/>
      <c r="F97" s="73">
        <f>'Таблица №10'!G102</f>
        <v>0</v>
      </c>
      <c r="G97" s="73">
        <f>'Таблица №10'!H102</f>
        <v>70</v>
      </c>
      <c r="H97" s="73">
        <f>'Таблица №10'!I102</f>
        <v>0</v>
      </c>
      <c r="I97" s="73">
        <f>'Таблица №10'!J102</f>
        <v>70</v>
      </c>
      <c r="J97" s="73">
        <f>'Таблица №10'!K102</f>
        <v>70</v>
      </c>
    </row>
    <row r="98" spans="1:10" ht="12.75" outlineLevel="5">
      <c r="A98" s="52" t="str">
        <f>'Таблица №10'!A103</f>
        <v>Гражданская оборона</v>
      </c>
      <c r="B98" s="88" t="str">
        <f>'Таблица №10'!C103</f>
        <v>0309</v>
      </c>
      <c r="C98" s="88"/>
      <c r="D98" s="88"/>
      <c r="E98" s="88"/>
      <c r="F98" s="73">
        <f>'Таблица №10'!G103</f>
        <v>0</v>
      </c>
      <c r="G98" s="73">
        <f>'Таблица №10'!H103</f>
        <v>20</v>
      </c>
      <c r="H98" s="73">
        <f>'Таблица №10'!I103</f>
        <v>0</v>
      </c>
      <c r="I98" s="73">
        <f>'Таблица №10'!J103</f>
        <v>20</v>
      </c>
      <c r="J98" s="73">
        <f>'Таблица №10'!K103</f>
        <v>20</v>
      </c>
    </row>
    <row r="99" spans="1:10" ht="24" outlineLevel="5">
      <c r="A99" s="52" t="str">
        <f>'Таблица №10'!A104</f>
        <v>Непрограммные расходы органов местного самоуправления Алексеевского муниципального района</v>
      </c>
      <c r="B99" s="88" t="str">
        <f>'Таблица №10'!C104</f>
        <v>0309</v>
      </c>
      <c r="C99" s="88" t="str">
        <f>'Таблица №10'!D104</f>
        <v>99</v>
      </c>
      <c r="D99" s="88">
        <f>'Таблица №10'!E104</f>
        <v>0</v>
      </c>
      <c r="E99" s="88"/>
      <c r="F99" s="73">
        <f>'Таблица №10'!G104</f>
        <v>0</v>
      </c>
      <c r="G99" s="73">
        <f>'Таблица №10'!H104</f>
        <v>20</v>
      </c>
      <c r="H99" s="73">
        <f>'Таблица №10'!I104</f>
        <v>0</v>
      </c>
      <c r="I99" s="73">
        <f>'Таблица №10'!J104</f>
        <v>20</v>
      </c>
      <c r="J99" s="73">
        <f>'Таблица №10'!K104</f>
        <v>20</v>
      </c>
    </row>
    <row r="100" spans="1:10" ht="24" outlineLevel="5">
      <c r="A100" s="52" t="str">
        <f>'Таблица №10'!A105</f>
        <v>Закупка товаров, работ и услуг для государственных (муниципальных) нужд</v>
      </c>
      <c r="B100" s="88" t="str">
        <f>'Таблица №10'!C105</f>
        <v>0309</v>
      </c>
      <c r="C100" s="88" t="str">
        <f>'Таблица №10'!D105</f>
        <v>99</v>
      </c>
      <c r="D100" s="88">
        <f>'Таблица №10'!E105</f>
        <v>0</v>
      </c>
      <c r="E100" s="88">
        <f>'Таблица №10'!F105</f>
        <v>200</v>
      </c>
      <c r="F100" s="73">
        <f>'Таблица №10'!G105</f>
        <v>0</v>
      </c>
      <c r="G100" s="73">
        <f>'Таблица №10'!H105</f>
        <v>20</v>
      </c>
      <c r="H100" s="73">
        <f>'Таблица №10'!I105</f>
        <v>0</v>
      </c>
      <c r="I100" s="73">
        <f>'Таблица №10'!J105</f>
        <v>20</v>
      </c>
      <c r="J100" s="73">
        <f>'Таблица №10'!K105</f>
        <v>20</v>
      </c>
    </row>
    <row r="101" spans="1:10" ht="31.5" customHeight="1" outlineLevel="2">
      <c r="A101" s="52" t="str">
        <f>'Таблица №10'!A106</f>
        <v>Защита населения и территории от чрезвычайных ситуаций природного и техногенного характера, пожарная безопасность</v>
      </c>
      <c r="B101" s="88" t="str">
        <f>'Таблица №10'!C106</f>
        <v>0310</v>
      </c>
      <c r="C101" s="88"/>
      <c r="D101" s="88"/>
      <c r="E101" s="88"/>
      <c r="F101" s="73">
        <f>'Таблица №10'!G106</f>
        <v>0</v>
      </c>
      <c r="G101" s="73">
        <f>'Таблица №10'!H106</f>
        <v>50</v>
      </c>
      <c r="H101" s="73">
        <f>'Таблица №10'!I106</f>
        <v>0</v>
      </c>
      <c r="I101" s="73">
        <f>'Таблица №10'!J106</f>
        <v>50</v>
      </c>
      <c r="J101" s="73">
        <f>'Таблица №10'!K106</f>
        <v>50</v>
      </c>
    </row>
    <row r="102" spans="1:10" ht="28.5" customHeight="1" outlineLevel="5">
      <c r="A102" s="52" t="str">
        <f>'Таблица №10'!A107</f>
        <v>Непрограммные расходы органов местного самоуправления Алексеевского муниципального района</v>
      </c>
      <c r="B102" s="88" t="str">
        <f>'Таблица №10'!C107</f>
        <v>0310</v>
      </c>
      <c r="C102" s="88" t="str">
        <f>'Таблица №10'!D107</f>
        <v>99</v>
      </c>
      <c r="D102" s="88">
        <f>'Таблица №10'!E107</f>
        <v>0</v>
      </c>
      <c r="E102" s="88"/>
      <c r="F102" s="73">
        <f>'Таблица №10'!G107</f>
        <v>0</v>
      </c>
      <c r="G102" s="73">
        <f>'Таблица №10'!H107</f>
        <v>50</v>
      </c>
      <c r="H102" s="73">
        <f>'Таблица №10'!I107</f>
        <v>0</v>
      </c>
      <c r="I102" s="73">
        <f>'Таблица №10'!J107</f>
        <v>50</v>
      </c>
      <c r="J102" s="73">
        <f>'Таблица №10'!K107</f>
        <v>50</v>
      </c>
    </row>
    <row r="103" spans="1:10" ht="27" customHeight="1" outlineLevel="5">
      <c r="A103" s="52" t="str">
        <f>'Таблица №10'!A108</f>
        <v>Закупка товаров, работ и услуг для государственных (муниципальных) нужд</v>
      </c>
      <c r="B103" s="88" t="str">
        <f>'Таблица №10'!C108</f>
        <v>0310</v>
      </c>
      <c r="C103" s="88" t="str">
        <f>'Таблица №10'!D108</f>
        <v>99</v>
      </c>
      <c r="D103" s="88">
        <f>'Таблица №10'!E108</f>
        <v>0</v>
      </c>
      <c r="E103" s="88">
        <f>'Таблица №10'!F108</f>
        <v>200</v>
      </c>
      <c r="F103" s="73">
        <f>'Таблица №10'!G108</f>
        <v>0</v>
      </c>
      <c r="G103" s="73">
        <f>'Таблица №10'!H108</f>
        <v>50</v>
      </c>
      <c r="H103" s="73">
        <f>'Таблица №10'!I108</f>
        <v>0</v>
      </c>
      <c r="I103" s="73">
        <f>'Таблица №10'!J108</f>
        <v>50</v>
      </c>
      <c r="J103" s="73">
        <f>'Таблица №10'!K108</f>
        <v>50</v>
      </c>
    </row>
    <row r="104" spans="1:10" ht="18" customHeight="1" hidden="1" outlineLevel="3">
      <c r="A104" s="52" t="e">
        <f>'Таблица №10'!#REF!</f>
        <v>#REF!</v>
      </c>
      <c r="B104" s="88" t="e">
        <f>'Таблица №10'!#REF!</f>
        <v>#REF!</v>
      </c>
      <c r="C104" s="88"/>
      <c r="D104" s="88"/>
      <c r="E104" s="88"/>
      <c r="F104" s="73" t="e">
        <f>'Таблица №10'!#REF!</f>
        <v>#REF!</v>
      </c>
      <c r="G104" s="73" t="e">
        <f>'Таблица №10'!#REF!</f>
        <v>#REF!</v>
      </c>
      <c r="H104" s="73" t="e">
        <f>'Таблица №10'!#REF!</f>
        <v>#REF!</v>
      </c>
      <c r="I104" s="73" t="e">
        <f>'Таблица №10'!#REF!</f>
        <v>#REF!</v>
      </c>
      <c r="J104" s="73" t="e">
        <f>'Таблица №10'!#REF!</f>
        <v>#REF!</v>
      </c>
    </row>
    <row r="105" spans="1:10" ht="27" customHeight="1" hidden="1" outlineLevel="3">
      <c r="A105" s="52" t="e">
        <f>'Таблица №10'!#REF!</f>
        <v>#REF!</v>
      </c>
      <c r="B105" s="88" t="e">
        <f>'Таблица №10'!#REF!</f>
        <v>#REF!</v>
      </c>
      <c r="C105" s="88" t="e">
        <f>'Таблица №10'!#REF!</f>
        <v>#REF!</v>
      </c>
      <c r="D105" s="88" t="e">
        <f>'Таблица №10'!#REF!</f>
        <v>#REF!</v>
      </c>
      <c r="E105" s="88"/>
      <c r="F105" s="73" t="e">
        <f>'Таблица №10'!#REF!</f>
        <v>#REF!</v>
      </c>
      <c r="G105" s="73" t="e">
        <f>'Таблица №10'!#REF!</f>
        <v>#REF!</v>
      </c>
      <c r="H105" s="73" t="e">
        <f>'Таблица №10'!#REF!</f>
        <v>#REF!</v>
      </c>
      <c r="I105" s="73" t="e">
        <f>'Таблица №10'!#REF!</f>
        <v>#REF!</v>
      </c>
      <c r="J105" s="73" t="e">
        <f>'Таблица №10'!#REF!</f>
        <v>#REF!</v>
      </c>
    </row>
    <row r="106" spans="1:10" ht="27" customHeight="1" hidden="1" outlineLevel="3">
      <c r="A106" s="52" t="e">
        <f>'Таблица №10'!#REF!</f>
        <v>#REF!</v>
      </c>
      <c r="B106" s="88" t="e">
        <f>'Таблица №10'!#REF!</f>
        <v>#REF!</v>
      </c>
      <c r="C106" s="88" t="e">
        <f>'Таблица №10'!#REF!</f>
        <v>#REF!</v>
      </c>
      <c r="D106" s="88" t="e">
        <f>'Таблица №10'!#REF!</f>
        <v>#REF!</v>
      </c>
      <c r="E106" s="88" t="e">
        <f>'Таблица №10'!#REF!</f>
        <v>#REF!</v>
      </c>
      <c r="F106" s="73" t="e">
        <f>'Таблица №10'!#REF!</f>
        <v>#REF!</v>
      </c>
      <c r="G106" s="73" t="e">
        <f>'Таблица №10'!#REF!</f>
        <v>#REF!</v>
      </c>
      <c r="H106" s="73" t="e">
        <f>'Таблица №10'!#REF!</f>
        <v>#REF!</v>
      </c>
      <c r="I106" s="73" t="e">
        <f>'Таблица №10'!#REF!</f>
        <v>#REF!</v>
      </c>
      <c r="J106" s="73" t="e">
        <f>'Таблица №10'!#REF!</f>
        <v>#REF!</v>
      </c>
    </row>
    <row r="107" spans="1:10" ht="11.25" customHeight="1" outlineLevel="3">
      <c r="A107" s="52" t="str">
        <f>'Таблица №10'!A109</f>
        <v>Национальная экономика</v>
      </c>
      <c r="B107" s="88" t="str">
        <f>'Таблица №10'!C109</f>
        <v>0400</v>
      </c>
      <c r="C107" s="88"/>
      <c r="D107" s="88"/>
      <c r="E107" s="88"/>
      <c r="F107" s="73">
        <f>'Таблица №10'!G109</f>
        <v>5443.700000000001</v>
      </c>
      <c r="G107" s="73">
        <f>'Таблица №10'!H109</f>
        <v>24507</v>
      </c>
      <c r="H107" s="73">
        <f>'Таблица №10'!I109</f>
        <v>5333.700000000001</v>
      </c>
      <c r="I107" s="73">
        <f>'Таблица №10'!J109</f>
        <v>24482.199999999997</v>
      </c>
      <c r="J107" s="73">
        <f>'Таблица №10'!K109</f>
        <v>24586.3</v>
      </c>
    </row>
    <row r="108" spans="1:10" ht="12.75" outlineLevel="3">
      <c r="A108" s="52" t="str">
        <f>'Таблица №10'!A110</f>
        <v>Сельское хозяйство и рыболовство</v>
      </c>
      <c r="B108" s="88" t="str">
        <f>'Таблица №10'!C110</f>
        <v>0405</v>
      </c>
      <c r="C108" s="88"/>
      <c r="D108" s="88"/>
      <c r="E108" s="88"/>
      <c r="F108" s="73">
        <f>'Таблица №10'!G110</f>
        <v>139.6</v>
      </c>
      <c r="G108" s="73">
        <f>'Таблица №10'!H110</f>
        <v>139.6</v>
      </c>
      <c r="H108" s="73">
        <f>'Таблица №10'!I110</f>
        <v>139.6</v>
      </c>
      <c r="I108" s="73">
        <f>'Таблица №10'!J110</f>
        <v>139.6</v>
      </c>
      <c r="J108" s="73">
        <f>'Таблица №10'!K110</f>
        <v>139.6</v>
      </c>
    </row>
    <row r="109" spans="1:10" ht="48" outlineLevel="3">
      <c r="A109" s="52" t="str">
        <f>'Таблица №10'!A111</f>
        <v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v>
      </c>
      <c r="B109" s="88" t="str">
        <f>'Таблица №10'!C111</f>
        <v>0405</v>
      </c>
      <c r="C109" s="88" t="str">
        <f>'Таблица №10'!D111</f>
        <v>99</v>
      </c>
      <c r="D109" s="88">
        <f>'Таблица №10'!E111</f>
        <v>0</v>
      </c>
      <c r="E109" s="88"/>
      <c r="F109" s="73">
        <f>'Таблица №10'!G111</f>
        <v>139.6</v>
      </c>
      <c r="G109" s="73">
        <f>'Таблица №10'!H111</f>
        <v>139.6</v>
      </c>
      <c r="H109" s="73">
        <f>'Таблица №10'!I111</f>
        <v>139.6</v>
      </c>
      <c r="I109" s="73">
        <f>'Таблица №10'!J111</f>
        <v>139.6</v>
      </c>
      <c r="J109" s="73">
        <f>'Таблица №10'!K111</f>
        <v>139.6</v>
      </c>
    </row>
    <row r="110" spans="1:10" ht="24" outlineLevel="3">
      <c r="A110" s="52" t="str">
        <f>'Таблица №10'!A112</f>
        <v>Непрограммные расходы органов местного самоуправления Алексеевского муниципального района</v>
      </c>
      <c r="B110" s="88" t="str">
        <f>'Таблица №10'!C112</f>
        <v>0405</v>
      </c>
      <c r="C110" s="88" t="str">
        <f>'Таблица №10'!D112</f>
        <v>99</v>
      </c>
      <c r="D110" s="88">
        <f>'Таблица №10'!E112</f>
        <v>0</v>
      </c>
      <c r="E110" s="88"/>
      <c r="F110" s="73">
        <f>'Таблица №10'!G112</f>
        <v>139.6</v>
      </c>
      <c r="G110" s="73">
        <f>'Таблица №10'!H112</f>
        <v>139.6</v>
      </c>
      <c r="H110" s="73">
        <f>'Таблица №10'!I112</f>
        <v>139.6</v>
      </c>
      <c r="I110" s="73">
        <f>'Таблица №10'!J112</f>
        <v>139.6</v>
      </c>
      <c r="J110" s="73">
        <f>'Таблица №10'!K112</f>
        <v>139.6</v>
      </c>
    </row>
    <row r="111" spans="1:10" ht="24" outlineLevel="3">
      <c r="A111" s="52" t="str">
        <f>'Таблица №10'!A113</f>
        <v>Закупка товаров, работ и услуг для государственных (муниципальных) нужд</v>
      </c>
      <c r="B111" s="88" t="str">
        <f>'Таблица №10'!C113</f>
        <v>0405</v>
      </c>
      <c r="C111" s="88" t="str">
        <f>'Таблица №10'!D113</f>
        <v>99</v>
      </c>
      <c r="D111" s="88">
        <f>'Таблица №10'!E113</f>
        <v>0</v>
      </c>
      <c r="E111" s="88">
        <f>'Таблица №10'!F113</f>
        <v>200</v>
      </c>
      <c r="F111" s="73">
        <f>'Таблица №10'!G113</f>
        <v>139.6</v>
      </c>
      <c r="G111" s="73">
        <f>'Таблица №10'!H113</f>
        <v>139.6</v>
      </c>
      <c r="H111" s="73">
        <f>'Таблица №10'!I113</f>
        <v>139.6</v>
      </c>
      <c r="I111" s="73">
        <f>'Таблица №10'!J113</f>
        <v>139.6</v>
      </c>
      <c r="J111" s="73">
        <f>'Таблица №10'!K113</f>
        <v>139.6</v>
      </c>
    </row>
    <row r="112" spans="1:10" ht="12.75" outlineLevel="3">
      <c r="A112" s="52" t="str">
        <f>'Таблица №10'!A114</f>
        <v>Дорожное хозяйство (дорожные фонды)</v>
      </c>
      <c r="B112" s="88" t="str">
        <f>'Таблица №10'!C114</f>
        <v>0409</v>
      </c>
      <c r="C112" s="88"/>
      <c r="D112" s="88"/>
      <c r="E112" s="88"/>
      <c r="F112" s="73">
        <f>'Таблица №10'!G114</f>
        <v>5304.1</v>
      </c>
      <c r="G112" s="73">
        <f>'Таблица №10'!H114</f>
        <v>23742.4</v>
      </c>
      <c r="H112" s="73">
        <f>'Таблица №10'!I114</f>
        <v>5194.1</v>
      </c>
      <c r="I112" s="73">
        <f>'Таблица №10'!J114</f>
        <v>24242.6</v>
      </c>
      <c r="J112" s="73">
        <f>'Таблица №10'!K114</f>
        <v>24346.7</v>
      </c>
    </row>
    <row r="113" spans="1:10" ht="48" outlineLevel="3">
      <c r="A113" s="52" t="str">
        <f>'Таблица №10'!A115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113" s="88" t="str">
        <f>'Таблица №10'!C115</f>
        <v>0409</v>
      </c>
      <c r="C113" s="88" t="str">
        <f>'Таблица №10'!D115</f>
        <v>18</v>
      </c>
      <c r="D113" s="88">
        <f>'Таблица №10'!E115</f>
        <v>0</v>
      </c>
      <c r="E113" s="88"/>
      <c r="F113" s="73">
        <f>'Таблица №10'!G115</f>
        <v>5304.1</v>
      </c>
      <c r="G113" s="73">
        <f>'Таблица №10'!H115</f>
        <v>23742.4</v>
      </c>
      <c r="H113" s="73">
        <f>'Таблица №10'!I115</f>
        <v>5194.1</v>
      </c>
      <c r="I113" s="73">
        <f>'Таблица №10'!J115</f>
        <v>24242.6</v>
      </c>
      <c r="J113" s="73">
        <f>'Таблица №10'!K115</f>
        <v>24346.7</v>
      </c>
    </row>
    <row r="114" spans="1:10" ht="27" customHeight="1" outlineLevel="1">
      <c r="A114" s="52" t="str">
        <f>'Таблица №10'!A116</f>
        <v>Закупка товаров, работ и услуг для государственных (муниципальных) нужд</v>
      </c>
      <c r="B114" s="88" t="str">
        <f>'Таблица №10'!C116</f>
        <v>0409</v>
      </c>
      <c r="C114" s="88" t="str">
        <f>'Таблица №10'!D116</f>
        <v>18</v>
      </c>
      <c r="D114" s="88">
        <f>'Таблица №10'!E116</f>
        <v>0</v>
      </c>
      <c r="E114" s="88">
        <f>'Таблица №10'!F116</f>
        <v>200</v>
      </c>
      <c r="F114" s="73">
        <f>'Таблица №10'!G116</f>
        <v>-695.9</v>
      </c>
      <c r="G114" s="73">
        <f>'Таблица №10'!H116</f>
        <v>6127.4</v>
      </c>
      <c r="H114" s="73">
        <f>'Таблица №10'!I116</f>
        <v>-805.9</v>
      </c>
      <c r="I114" s="73">
        <f>'Таблица №10'!J116</f>
        <v>6627.6</v>
      </c>
      <c r="J114" s="73">
        <f>'Таблица №10'!K116</f>
        <v>6731.7</v>
      </c>
    </row>
    <row r="115" spans="1:10" ht="24" outlineLevel="1">
      <c r="A115" s="52" t="str">
        <f>'Таблица №10'!A117</f>
        <v>Субсидия на реализацию мероприятий в сфере дорожной деятельности (с учетом доли софинансирования)</v>
      </c>
      <c r="B115" s="88" t="str">
        <f>'Таблица №10'!C117</f>
        <v>0409</v>
      </c>
      <c r="C115" s="88" t="str">
        <f>'Таблица №10'!D117</f>
        <v>18</v>
      </c>
      <c r="D115" s="88">
        <f>'Таблица №10'!E117</f>
        <v>0</v>
      </c>
      <c r="E115" s="88">
        <f>'Таблица №10'!F117</f>
        <v>200</v>
      </c>
      <c r="F115" s="73">
        <f>'Таблица №10'!G117</f>
        <v>6000</v>
      </c>
      <c r="G115" s="73">
        <f>'Таблица №10'!H117</f>
        <v>17615</v>
      </c>
      <c r="H115" s="73">
        <f>'Таблица №10'!I117</f>
        <v>6000</v>
      </c>
      <c r="I115" s="73">
        <f>'Таблица №10'!J117</f>
        <v>17615</v>
      </c>
      <c r="J115" s="73">
        <f>'Таблица №10'!K117</f>
        <v>17615</v>
      </c>
    </row>
    <row r="116" spans="1:10" ht="24" outlineLevel="1">
      <c r="A116" s="52" t="str">
        <f>'Таблица №10'!A118</f>
        <v>Межбюджетные трансферты за счет средств субсидии на реализацию мероприятий в сфере дорожной деятельности</v>
      </c>
      <c r="B116" s="88" t="str">
        <f>'Таблица №10'!C118</f>
        <v>0409</v>
      </c>
      <c r="C116" s="88" t="str">
        <f>'Таблица №10'!D118</f>
        <v>18</v>
      </c>
      <c r="D116" s="88">
        <f>'Таблица №10'!E118</f>
        <v>0</v>
      </c>
      <c r="E116" s="88">
        <f>'Таблица №10'!F118</f>
        <v>500</v>
      </c>
      <c r="F116" s="73">
        <f>'Таблица №10'!G118</f>
        <v>0</v>
      </c>
      <c r="G116" s="73">
        <f>'Таблица №10'!H118</f>
        <v>0</v>
      </c>
      <c r="H116" s="73">
        <f>'Таблица №10'!I118</f>
        <v>0</v>
      </c>
      <c r="I116" s="73">
        <f>'Таблица №10'!J118</f>
        <v>0</v>
      </c>
      <c r="J116" s="73">
        <f>'Таблица №10'!K118</f>
        <v>0</v>
      </c>
    </row>
    <row r="117" spans="1:10" ht="252" customHeight="1" hidden="1" outlineLevel="1">
      <c r="A117" s="52" t="str">
        <f>'Таблица №10'!A119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117" s="88" t="str">
        <f>'Таблица №10'!C119</f>
        <v>0409</v>
      </c>
      <c r="C117" s="88" t="str">
        <f>'Таблица №10'!D119</f>
        <v>20</v>
      </c>
      <c r="D117" s="88">
        <f>'Таблица №10'!E119</f>
        <v>0</v>
      </c>
      <c r="E117" s="88"/>
      <c r="F117" s="73">
        <f>'Таблица №10'!G119</f>
        <v>0</v>
      </c>
      <c r="G117" s="73">
        <f>'Таблица №10'!H119</f>
        <v>0</v>
      </c>
      <c r="H117" s="73">
        <f>'Таблица №10'!I119</f>
        <v>0</v>
      </c>
      <c r="I117" s="73">
        <f>'Таблица №10'!J119</f>
        <v>0</v>
      </c>
      <c r="J117" s="73">
        <f>'Таблица №10'!K119</f>
        <v>0</v>
      </c>
    </row>
    <row r="118" spans="1:10" ht="135" customHeight="1" hidden="1" outlineLevel="1">
      <c r="A118" s="52" t="str">
        <f>'Таблица №10'!A120</f>
        <v>Подпрограмма "Формирование законопослушного поведения участников дорожного движения"</v>
      </c>
      <c r="B118" s="88" t="str">
        <f>'Таблица №10'!C120</f>
        <v>0409</v>
      </c>
      <c r="C118" s="88" t="str">
        <f>'Таблица №10'!D120</f>
        <v>20</v>
      </c>
      <c r="D118" s="88">
        <f>'Таблица №10'!E120</f>
        <v>2</v>
      </c>
      <c r="E118" s="88">
        <f>'Таблица №10'!F120</f>
        <v>0</v>
      </c>
      <c r="F118" s="73">
        <f>'Таблица №10'!G120</f>
        <v>0</v>
      </c>
      <c r="G118" s="73">
        <f>'Таблица №10'!H120</f>
        <v>0</v>
      </c>
      <c r="H118" s="73">
        <f>'Таблица №10'!I120</f>
        <v>0</v>
      </c>
      <c r="I118" s="73">
        <f>'Таблица №10'!J120</f>
        <v>0</v>
      </c>
      <c r="J118" s="73">
        <f>'Таблица №10'!K120</f>
        <v>0</v>
      </c>
    </row>
    <row r="119" spans="1:10" ht="150" customHeight="1" hidden="1" outlineLevel="1">
      <c r="A119" s="52" t="str">
        <f>'Таблица №10'!A121</f>
        <v>Закупка товаров, работ и услуг для государственных (муниципальных) нужд</v>
      </c>
      <c r="B119" s="88" t="str">
        <f>'Таблица №10'!C121</f>
        <v>0409</v>
      </c>
      <c r="C119" s="88" t="str">
        <f>'Таблица №10'!D121</f>
        <v>20</v>
      </c>
      <c r="D119" s="88">
        <f>'Таблица №10'!E121</f>
        <v>2</v>
      </c>
      <c r="E119" s="88">
        <f>'Таблица №10'!F121</f>
        <v>200</v>
      </c>
      <c r="F119" s="73">
        <f>'Таблица №10'!G121</f>
        <v>0</v>
      </c>
      <c r="G119" s="73">
        <f>'Таблица №10'!H121</f>
        <v>0</v>
      </c>
      <c r="H119" s="73">
        <f>'Таблица №10'!I121</f>
        <v>0</v>
      </c>
      <c r="I119" s="73">
        <f>'Таблица №10'!J121</f>
        <v>0</v>
      </c>
      <c r="J119" s="73">
        <f>'Таблица №10'!K121</f>
        <v>0</v>
      </c>
    </row>
    <row r="120" spans="1:10" ht="12.75" outlineLevel="2">
      <c r="A120" s="52" t="str">
        <f>'Таблица №10'!A122</f>
        <v>Другие вопросы в области национальной экономики</v>
      </c>
      <c r="B120" s="88" t="str">
        <f>'Таблица №10'!C122</f>
        <v>0412</v>
      </c>
      <c r="C120" s="88"/>
      <c r="D120" s="88"/>
      <c r="E120" s="88"/>
      <c r="F120" s="73">
        <f>'Таблица №10'!G122</f>
        <v>0</v>
      </c>
      <c r="G120" s="73">
        <f>'Таблица №10'!H122</f>
        <v>625</v>
      </c>
      <c r="H120" s="73">
        <f>'Таблица №10'!I122</f>
        <v>0</v>
      </c>
      <c r="I120" s="73">
        <f>'Таблица №10'!J122</f>
        <v>100</v>
      </c>
      <c r="J120" s="73">
        <f>'Таблица №10'!K122</f>
        <v>100</v>
      </c>
    </row>
    <row r="121" spans="1:10" ht="35.25" customHeight="1" outlineLevel="2">
      <c r="A121" s="52" t="str">
        <f>'Таблица №10'!A123</f>
        <v>Муниципальная программа "Развитие и поддержка малого предпринимательства Алексеевского муниципального района на 2019-2023 годы "</v>
      </c>
      <c r="B121" s="88" t="str">
        <f>'Таблица №10'!C123</f>
        <v>0412</v>
      </c>
      <c r="C121" s="88" t="str">
        <f>'Таблица №10'!D123</f>
        <v>04</v>
      </c>
      <c r="D121" s="88">
        <f>'Таблица №10'!E123</f>
        <v>0</v>
      </c>
      <c r="E121" s="88"/>
      <c r="F121" s="73">
        <f>'Таблица №10'!G123</f>
        <v>0</v>
      </c>
      <c r="G121" s="73">
        <f>'Таблица №10'!H123</f>
        <v>100</v>
      </c>
      <c r="H121" s="73">
        <f>'Таблица №10'!I123</f>
        <v>0</v>
      </c>
      <c r="I121" s="73">
        <f>'Таблица №10'!J123</f>
        <v>100</v>
      </c>
      <c r="J121" s="73">
        <f>'Таблица №10'!K123</f>
        <v>100</v>
      </c>
    </row>
    <row r="122" spans="1:10" ht="108" customHeight="1" hidden="1" outlineLevel="2">
      <c r="A122" s="52" t="str">
        <f>'Таблица №10'!A124</f>
        <v>Закупка товаров, работ и услуг для государственных (муниципальных) нужд</v>
      </c>
      <c r="B122" s="88" t="str">
        <f>'Таблица №10'!C124</f>
        <v>0412</v>
      </c>
      <c r="C122" s="88" t="str">
        <f>'Таблица №10'!D124</f>
        <v>04</v>
      </c>
      <c r="D122" s="88">
        <f>'Таблица №10'!E124</f>
        <v>0</v>
      </c>
      <c r="E122" s="88">
        <f>'Таблица №10'!F124</f>
        <v>200</v>
      </c>
      <c r="F122" s="73">
        <f>'Таблица №10'!G124</f>
        <v>0</v>
      </c>
      <c r="G122" s="73">
        <f>'Таблица №10'!H124</f>
        <v>0</v>
      </c>
      <c r="H122" s="73">
        <f>'Таблица №10'!I124</f>
        <v>0</v>
      </c>
      <c r="I122" s="73">
        <f>'Таблица №10'!J124</f>
        <v>0</v>
      </c>
      <c r="J122" s="73">
        <f>'Таблица №10'!K124</f>
        <v>0</v>
      </c>
    </row>
    <row r="123" spans="1:10" ht="165" customHeight="1" hidden="1" outlineLevel="2">
      <c r="A123" s="52" t="str">
        <f>'Таблица №10'!A125</f>
        <v>Социальное обеспечение и иные выплаты населению</v>
      </c>
      <c r="B123" s="88" t="str">
        <f>'Таблица №10'!C125</f>
        <v>0412</v>
      </c>
      <c r="C123" s="88" t="str">
        <f>'Таблица №10'!D125</f>
        <v>04</v>
      </c>
      <c r="D123" s="88">
        <f>'Таблица №10'!E125</f>
        <v>0</v>
      </c>
      <c r="E123" s="88">
        <f>'Таблица №10'!F125</f>
        <v>300</v>
      </c>
      <c r="F123" s="73">
        <f>'Таблица №10'!G125</f>
        <v>0</v>
      </c>
      <c r="G123" s="73">
        <f>'Таблица №10'!H125</f>
        <v>0</v>
      </c>
      <c r="H123" s="73">
        <f>'Таблица №10'!I125</f>
        <v>0</v>
      </c>
      <c r="I123" s="73">
        <f>'Таблица №10'!J125</f>
        <v>0</v>
      </c>
      <c r="J123" s="73">
        <f>'Таблица №10'!K125</f>
        <v>0</v>
      </c>
    </row>
    <row r="124" spans="1:10" ht="12.75" outlineLevel="2">
      <c r="A124" s="52" t="str">
        <f>'Таблица №10'!A126</f>
        <v>Иные бюджетные ассигнования</v>
      </c>
      <c r="B124" s="88" t="str">
        <f>'Таблица №10'!C126</f>
        <v>0412</v>
      </c>
      <c r="C124" s="88" t="str">
        <f>'Таблица №10'!D126</f>
        <v>04</v>
      </c>
      <c r="D124" s="88">
        <f>'Таблица №10'!E126</f>
        <v>0</v>
      </c>
      <c r="E124" s="88">
        <f>'Таблица №10'!F126</f>
        <v>800</v>
      </c>
      <c r="F124" s="73">
        <f>'Таблица №10'!G126</f>
        <v>0</v>
      </c>
      <c r="G124" s="73">
        <f>'Таблица №10'!H126</f>
        <v>100</v>
      </c>
      <c r="H124" s="73">
        <f>'Таблица №10'!I126</f>
        <v>0</v>
      </c>
      <c r="I124" s="73">
        <f>'Таблица №10'!J126</f>
        <v>100</v>
      </c>
      <c r="J124" s="73">
        <f>'Таблица №10'!K126</f>
        <v>100</v>
      </c>
    </row>
    <row r="125" spans="1:10" ht="39" customHeight="1" outlineLevel="2">
      <c r="A125" s="52" t="str">
        <f>'Таблица №10'!A127</f>
        <v>Муниципальная программа "Градостроительная политика на территории Алексеевского муниципального района на 2019–2021 годы"</v>
      </c>
      <c r="B125" s="88" t="str">
        <f>'Таблица №10'!C127</f>
        <v>0412</v>
      </c>
      <c r="C125" s="88" t="str">
        <f>'Таблица №10'!D127</f>
        <v>09</v>
      </c>
      <c r="D125" s="88">
        <f>'Таблица №10'!E127</f>
        <v>0</v>
      </c>
      <c r="E125" s="88"/>
      <c r="F125" s="73">
        <f>'Таблица №10'!G127</f>
        <v>0</v>
      </c>
      <c r="G125" s="73">
        <f>'Таблица №10'!H127</f>
        <v>525</v>
      </c>
      <c r="H125" s="73">
        <f>'Таблица №10'!I127</f>
        <v>0</v>
      </c>
      <c r="I125" s="73">
        <f>'Таблица №10'!J127</f>
        <v>0</v>
      </c>
      <c r="J125" s="73">
        <f>'Таблица №10'!K127</f>
        <v>0</v>
      </c>
    </row>
    <row r="126" spans="1:10" ht="24" customHeight="1" outlineLevel="2">
      <c r="A126" s="52" t="str">
        <f>'Таблица №10'!A128</f>
        <v>Закупка товаров, работ и услуг для государственных (муниципальных) нужд</v>
      </c>
      <c r="B126" s="88" t="str">
        <f>'Таблица №10'!C128</f>
        <v>0412</v>
      </c>
      <c r="C126" s="88" t="str">
        <f>'Таблица №10'!D128</f>
        <v>09</v>
      </c>
      <c r="D126" s="88">
        <f>'Таблица №10'!E128</f>
        <v>0</v>
      </c>
      <c r="E126" s="88">
        <f>'Таблица №10'!F128</f>
        <v>200</v>
      </c>
      <c r="F126" s="73">
        <f>'Таблица №10'!G128</f>
        <v>0</v>
      </c>
      <c r="G126" s="73">
        <f>'Таблица №10'!H128</f>
        <v>525</v>
      </c>
      <c r="H126" s="73">
        <f>'Таблица №10'!I128</f>
        <v>0</v>
      </c>
      <c r="I126" s="73">
        <f>'Таблица №10'!J128</f>
        <v>0</v>
      </c>
      <c r="J126" s="73">
        <f>'Таблица №10'!K128</f>
        <v>0</v>
      </c>
    </row>
    <row r="127" spans="1:10" ht="12.75" hidden="1" outlineLevel="2" collapsed="1">
      <c r="A127" s="52" t="str">
        <f>'Таблица №10'!A129</f>
        <v>Межбюджетные трансферты</v>
      </c>
      <c r="B127" s="88" t="str">
        <f>'Таблица №10'!C129</f>
        <v>0412</v>
      </c>
      <c r="C127" s="88" t="str">
        <f>'Таблица №10'!D129</f>
        <v>09</v>
      </c>
      <c r="D127" s="88">
        <f>'Таблица №10'!E129</f>
        <v>0</v>
      </c>
      <c r="E127" s="88">
        <f>'Таблица №10'!F129</f>
        <v>500</v>
      </c>
      <c r="F127" s="73">
        <f>'Таблица №10'!G129</f>
        <v>0</v>
      </c>
      <c r="G127" s="73">
        <f>'Таблица №10'!H129</f>
        <v>0</v>
      </c>
      <c r="H127" s="73">
        <f>'Таблица №10'!I129</f>
        <v>0</v>
      </c>
      <c r="I127" s="73">
        <f>'Таблица №10'!J129</f>
        <v>0</v>
      </c>
      <c r="J127" s="73">
        <f>'Таблица №10'!K129</f>
        <v>0</v>
      </c>
    </row>
    <row r="128" spans="1:10" ht="199.5" customHeight="1" hidden="1" outlineLevel="3">
      <c r="A128" s="52" t="str">
        <f>'Таблица №10'!A130</f>
        <v>Непрограммные расходы органов местного самоуправления Алексеевского муниципального района</v>
      </c>
      <c r="B128" s="88" t="str">
        <f>'Таблица №10'!C130</f>
        <v>0412</v>
      </c>
      <c r="C128" s="88" t="str">
        <f>'Таблица №10'!D130</f>
        <v>99</v>
      </c>
      <c r="D128" s="88">
        <f>'Таблица №10'!E130</f>
        <v>0</v>
      </c>
      <c r="E128" s="88"/>
      <c r="F128" s="73">
        <f>'Таблица №10'!G130</f>
        <v>0</v>
      </c>
      <c r="G128" s="73">
        <f>'Таблица №10'!H130</f>
        <v>0</v>
      </c>
      <c r="H128" s="73">
        <f>'Таблица №10'!I130</f>
        <v>0</v>
      </c>
      <c r="I128" s="73">
        <f>'Таблица №10'!J130</f>
        <v>0</v>
      </c>
      <c r="J128" s="73">
        <f>'Таблица №10'!K130</f>
        <v>0</v>
      </c>
    </row>
    <row r="129" spans="1:10" ht="285" customHeight="1" hidden="1" outlineLevel="3">
      <c r="A129" s="52" t="str">
        <f>'Таблица №10'!A131</f>
        <v>Премии и гранты</v>
      </c>
      <c r="B129" s="88" t="str">
        <f>'Таблица №10'!C131</f>
        <v>0412</v>
      </c>
      <c r="C129" s="88" t="str">
        <f>'Таблица №10'!D131</f>
        <v>99</v>
      </c>
      <c r="D129" s="88">
        <f>'Таблица №10'!E131</f>
        <v>0</v>
      </c>
      <c r="E129" s="88">
        <f>'Таблица №10'!F131</f>
        <v>300</v>
      </c>
      <c r="F129" s="73">
        <f>'Таблица №10'!G131</f>
        <v>0</v>
      </c>
      <c r="G129" s="73">
        <f>'Таблица №10'!H131</f>
        <v>0</v>
      </c>
      <c r="H129" s="73">
        <f>'Таблица №10'!I131</f>
        <v>0</v>
      </c>
      <c r="I129" s="73">
        <f>'Таблица №10'!J131</f>
        <v>0</v>
      </c>
      <c r="J129" s="73">
        <f>'Таблица №10'!K131</f>
        <v>0</v>
      </c>
    </row>
    <row r="130" spans="1:10" ht="12.75" outlineLevel="2">
      <c r="A130" s="52" t="str">
        <f>'Таблица №10'!A132</f>
        <v>Жилищно-коммунальное хозяйство</v>
      </c>
      <c r="B130" s="88" t="str">
        <f>'Таблица №10'!C132</f>
        <v>0500</v>
      </c>
      <c r="C130" s="88"/>
      <c r="D130" s="88"/>
      <c r="E130" s="88"/>
      <c r="F130" s="73">
        <f>'Таблица №10'!G132</f>
        <v>8700.646</v>
      </c>
      <c r="G130" s="73">
        <f>'Таблица №10'!H132</f>
        <v>129398.85</v>
      </c>
      <c r="H130" s="73">
        <f>'Таблица №10'!I132</f>
        <v>4421.1</v>
      </c>
      <c r="I130" s="73">
        <f>'Таблица №10'!J132</f>
        <v>4448</v>
      </c>
      <c r="J130" s="73">
        <f>'Таблица №10'!K132</f>
        <v>4448</v>
      </c>
    </row>
    <row r="131" spans="1:10" ht="12.75" outlineLevel="3">
      <c r="A131" s="52" t="str">
        <f>'Таблица №10'!A133</f>
        <v>Коммунальное хозяйство</v>
      </c>
      <c r="B131" s="88" t="str">
        <f>'Таблица №10'!C133</f>
        <v>0502</v>
      </c>
      <c r="C131" s="88"/>
      <c r="D131" s="88"/>
      <c r="E131" s="88"/>
      <c r="F131" s="73">
        <f>'Таблица №10'!G133</f>
        <v>8700.646</v>
      </c>
      <c r="G131" s="73">
        <f>'Таблица №10'!H133</f>
        <v>129398.85</v>
      </c>
      <c r="H131" s="73">
        <f>'Таблица №10'!I133</f>
        <v>4421.1</v>
      </c>
      <c r="I131" s="73">
        <f>'Таблица №10'!J133</f>
        <v>4448</v>
      </c>
      <c r="J131" s="73">
        <f>'Таблица №10'!K133</f>
        <v>4448</v>
      </c>
    </row>
    <row r="132" spans="1:10" ht="37.5" customHeight="1" outlineLevel="3">
      <c r="A132" s="52" t="str">
        <f>'Таблица №10'!A134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132" s="88" t="str">
        <f>'Таблица №10'!C134</f>
        <v>0502</v>
      </c>
      <c r="C132" s="88" t="str">
        <f>'Таблица №10'!D134</f>
        <v>02</v>
      </c>
      <c r="D132" s="88">
        <f>'Таблица №10'!E134</f>
        <v>0</v>
      </c>
      <c r="E132" s="88"/>
      <c r="F132" s="73">
        <f>'Таблица №10'!G134</f>
        <v>4448</v>
      </c>
      <c r="G132" s="73">
        <f>'Таблица №10'!H134</f>
        <v>4448</v>
      </c>
      <c r="H132" s="73">
        <f>'Таблица №10'!I134</f>
        <v>4448</v>
      </c>
      <c r="I132" s="73">
        <f>'Таблица №10'!J134</f>
        <v>4448</v>
      </c>
      <c r="J132" s="73">
        <f>'Таблица №10'!K134</f>
        <v>4448</v>
      </c>
    </row>
    <row r="133" spans="1:10" ht="36.75" customHeight="1" outlineLevel="3">
      <c r="A133" s="52" t="str">
        <f>'Таблица №10'!A135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33" s="88" t="str">
        <f>'Таблица №10'!C135</f>
        <v>0502</v>
      </c>
      <c r="C133" s="88" t="str">
        <f>'Таблица №10'!D135</f>
        <v>02</v>
      </c>
      <c r="D133" s="88">
        <f>'Таблица №10'!E135</f>
        <v>1</v>
      </c>
      <c r="E133" s="88"/>
      <c r="F133" s="73">
        <f>'Таблица №10'!G135</f>
        <v>4448</v>
      </c>
      <c r="G133" s="73">
        <f>'Таблица №10'!H135</f>
        <v>4448</v>
      </c>
      <c r="H133" s="73">
        <f>'Таблица №10'!I135</f>
        <v>4448</v>
      </c>
      <c r="I133" s="73">
        <f>'Таблица №10'!J135</f>
        <v>4448</v>
      </c>
      <c r="J133" s="73">
        <f>'Таблица №10'!K135</f>
        <v>4448</v>
      </c>
    </row>
    <row r="134" spans="1:10" ht="24" hidden="1" outlineLevel="3">
      <c r="A134" s="52" t="str">
        <f>'Таблица №10'!A136</f>
        <v>Закупка товаров, работ и услуг для государственных (муниципальных) нужд</v>
      </c>
      <c r="B134" s="88" t="str">
        <f>'Таблица №10'!C136</f>
        <v>0502</v>
      </c>
      <c r="C134" s="88" t="str">
        <f>'Таблица №10'!D136</f>
        <v>02</v>
      </c>
      <c r="D134" s="88">
        <f>'Таблица №10'!E136</f>
        <v>1</v>
      </c>
      <c r="E134" s="88">
        <f>'Таблица №10'!F136</f>
        <v>200</v>
      </c>
      <c r="F134" s="73">
        <f>'Таблица №10'!G136</f>
        <v>0</v>
      </c>
      <c r="G134" s="73">
        <f>'Таблица №10'!H136</f>
        <v>0</v>
      </c>
      <c r="H134" s="73">
        <f>'Таблица №10'!I136</f>
        <v>0</v>
      </c>
      <c r="I134" s="73">
        <f>'Таблица №10'!J136</f>
        <v>0</v>
      </c>
      <c r="J134" s="73">
        <f>'Таблица №10'!K136</f>
        <v>0</v>
      </c>
    </row>
    <row r="135" spans="1:10" ht="12" customHeight="1" outlineLevel="3">
      <c r="A135" s="52" t="str">
        <f>'Таблица №10'!A137</f>
        <v>Межбюджетные трансферты</v>
      </c>
      <c r="B135" s="88" t="str">
        <f>'Таблица №10'!C137</f>
        <v>0502</v>
      </c>
      <c r="C135" s="88" t="str">
        <f>'Таблица №10'!D137</f>
        <v>02</v>
      </c>
      <c r="D135" s="88">
        <f>'Таблица №10'!E137</f>
        <v>1</v>
      </c>
      <c r="E135" s="88">
        <f>'Таблица №10'!F137</f>
        <v>500</v>
      </c>
      <c r="F135" s="73">
        <f>'Таблица №10'!G137</f>
        <v>4448</v>
      </c>
      <c r="G135" s="73">
        <f>'Таблица №10'!H137</f>
        <v>4448</v>
      </c>
      <c r="H135" s="73">
        <f>'Таблица №10'!I137</f>
        <v>4448</v>
      </c>
      <c r="I135" s="73">
        <f>'Таблица №10'!J137</f>
        <v>4448</v>
      </c>
      <c r="J135" s="73">
        <f>'Таблица №10'!K137</f>
        <v>4448</v>
      </c>
    </row>
    <row r="136" spans="1:10" ht="36" hidden="1" outlineLevel="3">
      <c r="A136" s="52" t="str">
        <f>'Таблица №10'!A138</f>
        <v>Подпрограмма "Энергосбережение и повышение энергетической эффективности Алексеевского муниципального района"</v>
      </c>
      <c r="B136" s="88" t="str">
        <f>'Таблица №10'!C138</f>
        <v>0502</v>
      </c>
      <c r="C136" s="88" t="str">
        <f>'Таблица №10'!D138</f>
        <v>02</v>
      </c>
      <c r="D136" s="88">
        <f>'Таблица №10'!E138</f>
        <v>4</v>
      </c>
      <c r="E136" s="88"/>
      <c r="F136" s="73">
        <f>'Таблица №10'!G138</f>
        <v>0</v>
      </c>
      <c r="G136" s="73">
        <f>'Таблица №10'!H138</f>
        <v>0</v>
      </c>
      <c r="H136" s="73">
        <f>'Таблица №10'!I138</f>
        <v>0</v>
      </c>
      <c r="I136" s="73">
        <f>'Таблица №10'!J138</f>
        <v>0</v>
      </c>
      <c r="J136" s="73">
        <f>'Таблица №10'!K138</f>
        <v>0</v>
      </c>
    </row>
    <row r="137" spans="1:10" ht="24" hidden="1" outlineLevel="3">
      <c r="A137" s="52" t="str">
        <f>'Таблица №10'!A139</f>
        <v>Закупка товаров, работ и услуг для государственных (муниципальных) нужд</v>
      </c>
      <c r="B137" s="88" t="str">
        <f>'Таблица №10'!C139</f>
        <v>0502</v>
      </c>
      <c r="C137" s="88" t="str">
        <f>'Таблица №10'!D139</f>
        <v>02</v>
      </c>
      <c r="D137" s="88">
        <f>'Таблица №10'!E139</f>
        <v>4</v>
      </c>
      <c r="E137" s="88">
        <f>'Таблица №10'!F139</f>
        <v>200</v>
      </c>
      <c r="F137" s="73">
        <f>'Таблица №10'!G139</f>
        <v>0</v>
      </c>
      <c r="G137" s="73">
        <f>'Таблица №10'!H139</f>
        <v>0</v>
      </c>
      <c r="H137" s="73">
        <f>'Таблица №10'!I139</f>
        <v>0</v>
      </c>
      <c r="I137" s="73">
        <f>'Таблица №10'!J139</f>
        <v>0</v>
      </c>
      <c r="J137" s="73">
        <f>'Таблица №10'!K139</f>
        <v>0</v>
      </c>
    </row>
    <row r="138" spans="1:10" ht="24" outlineLevel="3">
      <c r="A138" s="52" t="str">
        <f>'Таблица №10'!A140</f>
        <v>Муниципальная программа "Комплексное развитие сельских территорий"</v>
      </c>
      <c r="B138" s="88" t="str">
        <f>'Таблица №10'!C140</f>
        <v>0502</v>
      </c>
      <c r="C138" s="88" t="str">
        <f>'Таблица №10'!D140</f>
        <v>03</v>
      </c>
      <c r="D138" s="88">
        <f>'Таблица №10'!E140</f>
        <v>0</v>
      </c>
      <c r="E138" s="88">
        <f>'Таблица №10'!F140</f>
        <v>0</v>
      </c>
      <c r="F138" s="73">
        <f>'Таблица №10'!G140</f>
        <v>4223.546</v>
      </c>
      <c r="G138" s="73">
        <f>'Таблица №10'!H140</f>
        <v>124897.25</v>
      </c>
      <c r="H138" s="73">
        <f>'Таблица №10'!I140</f>
        <v>0</v>
      </c>
      <c r="I138" s="73">
        <f>'Таблица №10'!J140</f>
        <v>0</v>
      </c>
      <c r="J138" s="73">
        <f>'Таблица №10'!K140</f>
        <v>0</v>
      </c>
    </row>
    <row r="139" spans="1:10" ht="16.5" customHeight="1" outlineLevel="3">
      <c r="A139" s="52" t="str">
        <f>'Таблица №10'!A141</f>
        <v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v>
      </c>
      <c r="B139" s="88" t="str">
        <f>'Таблица №10'!C141</f>
        <v>0502</v>
      </c>
      <c r="C139" s="88" t="str">
        <f>'Таблица №10'!D141</f>
        <v>03</v>
      </c>
      <c r="D139" s="88">
        <f>'Таблица №10'!E141</f>
        <v>0</v>
      </c>
      <c r="E139" s="88">
        <f>'Таблица №10'!F141</f>
        <v>400</v>
      </c>
      <c r="F139" s="73">
        <f>'Таблица №10'!G141</f>
        <v>0</v>
      </c>
      <c r="G139" s="73">
        <f>'Таблица №10'!H141</f>
        <v>120673.704</v>
      </c>
      <c r="H139" s="73">
        <f>'Таблица №10'!I141</f>
        <v>0</v>
      </c>
      <c r="I139" s="73">
        <f>'Таблица №10'!J141</f>
        <v>0</v>
      </c>
      <c r="J139" s="73">
        <f>'Таблица №10'!K141</f>
        <v>0</v>
      </c>
    </row>
    <row r="140" spans="1:10" ht="24" outlineLevel="3">
      <c r="A140" s="52" t="str">
        <f>'Таблица №10'!A142</f>
        <v>Капитальные вложения в объекты государственной (муниципальной) собственности (софинансирование)</v>
      </c>
      <c r="B140" s="88" t="str">
        <f>'Таблица №10'!C142</f>
        <v>0502</v>
      </c>
      <c r="C140" s="88" t="str">
        <f>'Таблица №10'!D142</f>
        <v>03</v>
      </c>
      <c r="D140" s="88">
        <f>'Таблица №10'!E142</f>
        <v>0</v>
      </c>
      <c r="E140" s="88">
        <f>'Таблица №10'!F142</f>
        <v>400</v>
      </c>
      <c r="F140" s="73">
        <f>'Таблица №10'!G142</f>
        <v>4223.546</v>
      </c>
      <c r="G140" s="73">
        <f>'Таблица №10'!H142</f>
        <v>4223.546</v>
      </c>
      <c r="H140" s="73">
        <f>'Таблица №10'!I142</f>
        <v>0</v>
      </c>
      <c r="I140" s="73">
        <f>'Таблица №10'!J142</f>
        <v>0</v>
      </c>
      <c r="J140" s="73">
        <f>'Таблица №10'!K142</f>
        <v>0</v>
      </c>
    </row>
    <row r="141" spans="1:10" ht="50.25" customHeight="1" outlineLevel="1">
      <c r="A141" s="52" t="str">
        <f>'Таблица №10'!A143</f>
        <v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v>
      </c>
      <c r="B141" s="88" t="str">
        <f>'Таблица №10'!C143</f>
        <v>0502</v>
      </c>
      <c r="C141" s="88"/>
      <c r="D141" s="88"/>
      <c r="E141" s="88"/>
      <c r="F141" s="73">
        <f>'Таблица №10'!G143</f>
        <v>29.1</v>
      </c>
      <c r="G141" s="73">
        <f>'Таблица №10'!H143</f>
        <v>53.60000000000001</v>
      </c>
      <c r="H141" s="73">
        <f>'Таблица №10'!I143</f>
        <v>-26.9</v>
      </c>
      <c r="I141" s="73">
        <f>'Таблица №10'!J143</f>
        <v>0</v>
      </c>
      <c r="J141" s="73">
        <f>'Таблица №10'!K143</f>
        <v>0</v>
      </c>
    </row>
    <row r="142" spans="1:10" ht="24" outlineLevel="1">
      <c r="A142" s="52" t="str">
        <f>'Таблица №10'!A144</f>
        <v>Непрограммные расходы органов местного самоуправления Алексеевского муниципального района</v>
      </c>
      <c r="B142" s="88" t="str">
        <f>'Таблица №10'!C144</f>
        <v>0502</v>
      </c>
      <c r="C142" s="88" t="str">
        <f>'Таблица №10'!D144</f>
        <v>99</v>
      </c>
      <c r="D142" s="88">
        <f>'Таблица №10'!E144</f>
        <v>0</v>
      </c>
      <c r="E142" s="88"/>
      <c r="F142" s="73">
        <f>'Таблица №10'!G144</f>
        <v>29.1</v>
      </c>
      <c r="G142" s="73">
        <f>'Таблица №10'!H144</f>
        <v>53.60000000000001</v>
      </c>
      <c r="H142" s="73">
        <f>'Таблица №10'!I144</f>
        <v>-26.9</v>
      </c>
      <c r="I142" s="73">
        <f>'Таблица №10'!J144</f>
        <v>0</v>
      </c>
      <c r="J142" s="73">
        <f>'Таблица №10'!K144</f>
        <v>0</v>
      </c>
    </row>
    <row r="143" spans="1:10" ht="12.75" outlineLevel="1">
      <c r="A143" s="52" t="str">
        <f>'Таблица №10'!A145</f>
        <v>Иные бюджетные ассигнования</v>
      </c>
      <c r="B143" s="88" t="str">
        <f>'Таблица №10'!C145</f>
        <v>0502</v>
      </c>
      <c r="C143" s="88" t="str">
        <f>'Таблица №10'!D145</f>
        <v>99</v>
      </c>
      <c r="D143" s="88">
        <f>'Таблица №10'!E145</f>
        <v>0</v>
      </c>
      <c r="E143" s="88">
        <f>'Таблица №10'!F145</f>
        <v>800</v>
      </c>
      <c r="F143" s="73">
        <f>'Таблица №10'!G145</f>
        <v>29.1</v>
      </c>
      <c r="G143" s="73">
        <f>'Таблица №10'!H145</f>
        <v>53.60000000000001</v>
      </c>
      <c r="H143" s="73">
        <f>'Таблица №10'!I145</f>
        <v>-26.9</v>
      </c>
      <c r="I143" s="73">
        <f>'Таблица №10'!J145</f>
        <v>0</v>
      </c>
      <c r="J143" s="73">
        <f>'Таблица №10'!K145</f>
        <v>0</v>
      </c>
    </row>
    <row r="144" spans="1:10" ht="12.75" hidden="1" outlineLevel="1">
      <c r="A144" s="52" t="str">
        <f>'Таблица №10'!A146</f>
        <v>Благоустройство</v>
      </c>
      <c r="B144" s="88" t="str">
        <f>'Таблица №10'!C146</f>
        <v>0503</v>
      </c>
      <c r="C144" s="88"/>
      <c r="D144" s="88"/>
      <c r="E144" s="88"/>
      <c r="F144" s="73">
        <f>'Таблица №10'!G146</f>
        <v>0</v>
      </c>
      <c r="G144" s="73">
        <f>'Таблица №10'!H146</f>
        <v>0</v>
      </c>
      <c r="H144" s="73">
        <f>'Таблица №10'!I146</f>
        <v>0</v>
      </c>
      <c r="I144" s="73">
        <f>'Таблица №10'!J146</f>
        <v>0</v>
      </c>
      <c r="J144" s="73">
        <f>'Таблица №10'!K146</f>
        <v>0</v>
      </c>
    </row>
    <row r="145" spans="1:10" ht="24" hidden="1" outlineLevel="1">
      <c r="A145" s="52" t="str">
        <f>'Таблица №10'!A147</f>
        <v>Муниципальная программа "Комплексное развитие сельских территорий"</v>
      </c>
      <c r="B145" s="88" t="str">
        <f>'Таблица №10'!C147</f>
        <v>0503</v>
      </c>
      <c r="C145" s="88" t="str">
        <f>'Таблица №10'!D147</f>
        <v>03</v>
      </c>
      <c r="D145" s="88">
        <f>'Таблица №10'!E147</f>
        <v>0</v>
      </c>
      <c r="E145" s="88"/>
      <c r="F145" s="73">
        <f>'Таблица №10'!G147</f>
        <v>0</v>
      </c>
      <c r="G145" s="73">
        <f>'Таблица №10'!H147</f>
        <v>0</v>
      </c>
      <c r="H145" s="73">
        <f>'Таблица №10'!I147</f>
        <v>0</v>
      </c>
      <c r="I145" s="73">
        <f>'Таблица №10'!J147</f>
        <v>0</v>
      </c>
      <c r="J145" s="73">
        <f>'Таблица №10'!K147</f>
        <v>0</v>
      </c>
    </row>
    <row r="146" spans="1:10" ht="23.25" customHeight="1" hidden="1" outlineLevel="1">
      <c r="A146" s="52" t="str">
        <f>'Таблица №10'!A148</f>
        <v>Предоставление субсидий бюджетным, автономным учреждениям и иным некоммерческим организациям</v>
      </c>
      <c r="B146" s="88" t="str">
        <f>'Таблица №10'!C148</f>
        <v>0503</v>
      </c>
      <c r="C146" s="88" t="str">
        <f>'Таблица №10'!D148</f>
        <v>03</v>
      </c>
      <c r="D146" s="88">
        <f>'Таблица №10'!E148</f>
        <v>0</v>
      </c>
      <c r="E146" s="88">
        <f>'Таблица №10'!F148</f>
        <v>600</v>
      </c>
      <c r="F146" s="73">
        <f>'Таблица №10'!G148</f>
        <v>0</v>
      </c>
      <c r="G146" s="73">
        <f>'Таблица №10'!H148</f>
        <v>0</v>
      </c>
      <c r="H146" s="73">
        <f>'Таблица №10'!I148</f>
        <v>0</v>
      </c>
      <c r="I146" s="73">
        <f>'Таблица №10'!J148</f>
        <v>0</v>
      </c>
      <c r="J146" s="73">
        <f>'Таблица №10'!K148</f>
        <v>0</v>
      </c>
    </row>
    <row r="147" spans="1:10" ht="12.75" outlineLevel="2">
      <c r="A147" s="52" t="str">
        <f>'Таблица №10'!A149</f>
        <v>Охрана окружающей среды</v>
      </c>
      <c r="B147" s="88" t="str">
        <f>'Таблица №10'!C149</f>
        <v>0600</v>
      </c>
      <c r="C147" s="88">
        <f>'Таблица №10'!D149</f>
        <v>0</v>
      </c>
      <c r="D147" s="88">
        <f>'Таблица №10'!E149</f>
        <v>0</v>
      </c>
      <c r="E147" s="88"/>
      <c r="F147" s="73">
        <f>'Таблица №10'!G149</f>
        <v>-30</v>
      </c>
      <c r="G147" s="73">
        <f>'Таблица №10'!H149</f>
        <v>20</v>
      </c>
      <c r="H147" s="73">
        <f>'Таблица №10'!I149</f>
        <v>-30</v>
      </c>
      <c r="I147" s="73">
        <f>'Таблица №10'!J149</f>
        <v>20</v>
      </c>
      <c r="J147" s="73">
        <f>'Таблица №10'!K149</f>
        <v>20</v>
      </c>
    </row>
    <row r="148" spans="1:10" ht="24" outlineLevel="5">
      <c r="A148" s="52" t="str">
        <f>'Таблица №10'!A150</f>
        <v>Муниципальная программа "Охрана окружающей среды Алексеевского муниципального района на 2019-2023 годы"</v>
      </c>
      <c r="B148" s="88" t="str">
        <f>'Таблица №10'!C150</f>
        <v>0605</v>
      </c>
      <c r="C148" s="88" t="str">
        <f>'Таблица №10'!D150</f>
        <v>05</v>
      </c>
      <c r="D148" s="88">
        <f>'Таблица №10'!E150</f>
        <v>0</v>
      </c>
      <c r="E148" s="88"/>
      <c r="F148" s="73">
        <f>'Таблица №10'!G150</f>
        <v>-30</v>
      </c>
      <c r="G148" s="73">
        <f>'Таблица №10'!H150</f>
        <v>20</v>
      </c>
      <c r="H148" s="73">
        <f>'Таблица №10'!I150</f>
        <v>-30</v>
      </c>
      <c r="I148" s="73">
        <f>'Таблица №10'!J150</f>
        <v>20</v>
      </c>
      <c r="J148" s="73">
        <f>'Таблица №10'!K150</f>
        <v>20</v>
      </c>
    </row>
    <row r="149" spans="1:10" ht="24" outlineLevel="5">
      <c r="A149" s="52" t="str">
        <f>'Таблица №10'!A151</f>
        <v>Закупка товаров, работ и услуг для государственных (муниципальных) нужд</v>
      </c>
      <c r="B149" s="88" t="str">
        <f>'Таблица №10'!C151</f>
        <v>0605</v>
      </c>
      <c r="C149" s="88" t="str">
        <f>'Таблица №10'!D151</f>
        <v>05</v>
      </c>
      <c r="D149" s="88">
        <f>'Таблица №10'!E151</f>
        <v>0</v>
      </c>
      <c r="E149" s="88">
        <f>'Таблица №10'!F151</f>
        <v>200</v>
      </c>
      <c r="F149" s="73">
        <f>'Таблица №10'!G151</f>
        <v>-30</v>
      </c>
      <c r="G149" s="73">
        <f>'Таблица №10'!H151</f>
        <v>20</v>
      </c>
      <c r="H149" s="73">
        <f>'Таблица №10'!I151</f>
        <v>-30</v>
      </c>
      <c r="I149" s="73">
        <f>'Таблица №10'!J151</f>
        <v>20</v>
      </c>
      <c r="J149" s="73">
        <f>'Таблица №10'!K151</f>
        <v>20</v>
      </c>
    </row>
    <row r="150" spans="1:10" ht="24" hidden="1" outlineLevel="5">
      <c r="A150" s="52" t="str">
        <f>'Таблица №10'!A152</f>
        <v>Предоставление субсидий бюджетным, автономным учреждениям и иным некоммерческим организациям</v>
      </c>
      <c r="B150" s="88" t="str">
        <f>'Таблица №10'!C152</f>
        <v>0605</v>
      </c>
      <c r="C150" s="88" t="str">
        <f>'Таблица №10'!D152</f>
        <v>05</v>
      </c>
      <c r="D150" s="88">
        <f>'Таблица №10'!E152</f>
        <v>0</v>
      </c>
      <c r="E150" s="88">
        <f>'Таблица №10'!F152</f>
        <v>600</v>
      </c>
      <c r="F150" s="73">
        <f>'Таблица №10'!G152</f>
        <v>0</v>
      </c>
      <c r="G150" s="73">
        <f>'Таблица №10'!H152</f>
        <v>0</v>
      </c>
      <c r="H150" s="73">
        <f>'Таблица №10'!I152</f>
        <v>0</v>
      </c>
      <c r="I150" s="73">
        <f>'Таблица №10'!J152</f>
        <v>0</v>
      </c>
      <c r="J150" s="73">
        <f>'Таблица №10'!K152</f>
        <v>0</v>
      </c>
    </row>
    <row r="151" spans="1:10" ht="12.75" outlineLevel="5">
      <c r="A151" s="52" t="str">
        <f>'Таблица №10'!A153</f>
        <v>Образование</v>
      </c>
      <c r="B151" s="88" t="str">
        <f>'Таблица №10'!C153</f>
        <v>0700</v>
      </c>
      <c r="C151" s="88"/>
      <c r="D151" s="88"/>
      <c r="E151" s="88"/>
      <c r="F151" s="73">
        <f>'Таблица №10'!G153</f>
        <v>26215.23206</v>
      </c>
      <c r="G151" s="73">
        <f>'Таблица №10'!H153</f>
        <v>238832.63206000003</v>
      </c>
      <c r="H151" s="73">
        <f>'Таблица №10'!I153</f>
        <v>12499.710999999998</v>
      </c>
      <c r="I151" s="73">
        <f>'Таблица №10'!J153</f>
        <v>221622.71099999998</v>
      </c>
      <c r="J151" s="73">
        <f>'Таблица №10'!K153</f>
        <v>205512.51100000003</v>
      </c>
    </row>
    <row r="152" spans="1:10" ht="12.75" outlineLevel="2">
      <c r="A152" s="52" t="str">
        <f>'Таблица №10'!A154</f>
        <v>Дошкольное образование</v>
      </c>
      <c r="B152" s="88" t="str">
        <f>'Таблица №10'!C154</f>
        <v>0701</v>
      </c>
      <c r="C152" s="88"/>
      <c r="D152" s="88"/>
      <c r="E152" s="88"/>
      <c r="F152" s="73">
        <f>'Таблица №10'!G154</f>
        <v>892.9290000000001</v>
      </c>
      <c r="G152" s="73">
        <f>'Таблица №10'!H154</f>
        <v>37951.829</v>
      </c>
      <c r="H152" s="73">
        <f>'Таблица №10'!I154</f>
        <v>-2408.6710000000003</v>
      </c>
      <c r="I152" s="73">
        <f>'Таблица №10'!J154</f>
        <v>34370.229</v>
      </c>
      <c r="J152" s="73">
        <f>'Таблица №10'!K154</f>
        <v>35368.528999999995</v>
      </c>
    </row>
    <row r="153" spans="1:10" ht="36" outlineLevel="2">
      <c r="A153" s="52" t="str">
        <f>'Таблица №10'!A155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153" s="88" t="str">
        <f>'Таблица №10'!C155</f>
        <v>0701</v>
      </c>
      <c r="C153" s="88" t="str">
        <f>'Таблица №10'!D155</f>
        <v>02</v>
      </c>
      <c r="D153" s="88">
        <f>'Таблица №10'!E155</f>
        <v>0</v>
      </c>
      <c r="E153" s="88"/>
      <c r="F153" s="73">
        <f>'Таблица №10'!G155</f>
        <v>0</v>
      </c>
      <c r="G153" s="73">
        <f>'Таблица №10'!H155</f>
        <v>280</v>
      </c>
      <c r="H153" s="73">
        <f>'Таблица №10'!I155</f>
        <v>0</v>
      </c>
      <c r="I153" s="73">
        <f>'Таблица №10'!J155</f>
        <v>0</v>
      </c>
      <c r="J153" s="73">
        <f>'Таблица №10'!K155</f>
        <v>0</v>
      </c>
    </row>
    <row r="154" spans="1:10" ht="36" hidden="1" outlineLevel="2">
      <c r="A154" s="52" t="str">
        <f>'Таблица №10'!A156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54" s="88" t="str">
        <f>'Таблица №10'!C156</f>
        <v>0701</v>
      </c>
      <c r="C154" s="88" t="str">
        <f>'Таблица №10'!D156</f>
        <v>02</v>
      </c>
      <c r="D154" s="88">
        <f>'Таблица №10'!E156</f>
        <v>3</v>
      </c>
      <c r="E154" s="88"/>
      <c r="F154" s="73">
        <f>'Таблица №10'!G156</f>
        <v>0</v>
      </c>
      <c r="G154" s="73">
        <f>'Таблица №10'!H156</f>
        <v>0</v>
      </c>
      <c r="H154" s="73">
        <f>'Таблица №10'!I156</f>
        <v>0</v>
      </c>
      <c r="I154" s="73">
        <f>'Таблица №10'!J156</f>
        <v>0</v>
      </c>
      <c r="J154" s="73">
        <f>'Таблица №10'!K156</f>
        <v>0</v>
      </c>
    </row>
    <row r="155" spans="1:10" ht="24" hidden="1" outlineLevel="2">
      <c r="A155" s="52" t="str">
        <f>'Таблица №10'!A157</f>
        <v>Капитальные вложения в объекты государственной (муниципальной) собственности</v>
      </c>
      <c r="B155" s="88" t="str">
        <f>'Таблица №10'!C157</f>
        <v>0701</v>
      </c>
      <c r="C155" s="88" t="str">
        <f>'Таблица №10'!D157</f>
        <v>02</v>
      </c>
      <c r="D155" s="88">
        <f>'Таблица №10'!E157</f>
        <v>3</v>
      </c>
      <c r="E155" s="88" t="s">
        <v>291</v>
      </c>
      <c r="F155" s="73">
        <f>'Таблица №10'!G157</f>
        <v>0</v>
      </c>
      <c r="G155" s="73">
        <f>'Таблица №10'!H157</f>
        <v>0</v>
      </c>
      <c r="H155" s="73">
        <f>'Таблица №10'!I157</f>
        <v>0</v>
      </c>
      <c r="I155" s="73">
        <f>'Таблица №10'!J157</f>
        <v>0</v>
      </c>
      <c r="J155" s="73">
        <f>'Таблица №10'!K157</f>
        <v>0</v>
      </c>
    </row>
    <row r="156" spans="1:10" ht="24" hidden="1" outlineLevel="2">
      <c r="A156" s="52" t="str">
        <f>'Таблица №10'!A158</f>
        <v>Предоставление субсидий бюджетным, автономным учреждениям и иным некоммерческим организациям</v>
      </c>
      <c r="B156" s="88" t="str">
        <f>'Таблица №10'!C158</f>
        <v>0701</v>
      </c>
      <c r="C156" s="88" t="str">
        <f>'Таблица №10'!D158</f>
        <v>02</v>
      </c>
      <c r="D156" s="88">
        <f>'Таблица №10'!E158</f>
        <v>3</v>
      </c>
      <c r="E156" s="88">
        <f>'Таблица №10'!F158</f>
        <v>600</v>
      </c>
      <c r="F156" s="73">
        <f>'Таблица №10'!G158</f>
        <v>0</v>
      </c>
      <c r="G156" s="73">
        <f>'Таблица №10'!H158</f>
        <v>0</v>
      </c>
      <c r="H156" s="73">
        <f>'Таблица №10'!I158</f>
        <v>0</v>
      </c>
      <c r="I156" s="73">
        <f>'Таблица №10'!J158</f>
        <v>0</v>
      </c>
      <c r="J156" s="73">
        <f>'Таблица №10'!K158</f>
        <v>0</v>
      </c>
    </row>
    <row r="157" spans="1:10" ht="38.25" customHeight="1" outlineLevel="2">
      <c r="A157" s="52" t="str">
        <f>'Таблица №10'!A159</f>
        <v>Подпрограмма "Энергосбережение и повышение энергетической эффективности Алексеевского муниципального района"</v>
      </c>
      <c r="B157" s="88" t="str">
        <f>'Таблица №10'!C159</f>
        <v>0701</v>
      </c>
      <c r="C157" s="88" t="str">
        <f>'Таблица №10'!D159</f>
        <v>02</v>
      </c>
      <c r="D157" s="88">
        <f>'Таблица №10'!E159</f>
        <v>4</v>
      </c>
      <c r="E157" s="88"/>
      <c r="F157" s="73">
        <f>'Таблица №10'!G159</f>
        <v>0</v>
      </c>
      <c r="G157" s="73">
        <f>'Таблица №10'!H159</f>
        <v>280</v>
      </c>
      <c r="H157" s="73">
        <f>'Таблица №10'!I159</f>
        <v>0</v>
      </c>
      <c r="I157" s="73">
        <f>'Таблица №10'!J159</f>
        <v>0</v>
      </c>
      <c r="J157" s="73">
        <f>'Таблица №10'!K159</f>
        <v>0</v>
      </c>
    </row>
    <row r="158" spans="1:10" ht="24" outlineLevel="2">
      <c r="A158" s="52" t="str">
        <f>'Таблица №10'!A160</f>
        <v>Предоставление субсидий бюджетным, автономным учреждениям и иным некоммерческим организациям</v>
      </c>
      <c r="B158" s="88" t="str">
        <f>'Таблица №10'!C160</f>
        <v>0701</v>
      </c>
      <c r="C158" s="88" t="str">
        <f>'Таблица №10'!D160</f>
        <v>02</v>
      </c>
      <c r="D158" s="88">
        <f>'Таблица №10'!E160</f>
        <v>4</v>
      </c>
      <c r="E158" s="88">
        <f>'Таблица №10'!F160</f>
        <v>600</v>
      </c>
      <c r="F158" s="73">
        <f>'Таблица №10'!G160</f>
        <v>0</v>
      </c>
      <c r="G158" s="73">
        <f>'Таблица №10'!H160</f>
        <v>280</v>
      </c>
      <c r="H158" s="73">
        <f>'Таблица №10'!I160</f>
        <v>0</v>
      </c>
      <c r="I158" s="73">
        <f>'Таблица №10'!J160</f>
        <v>0</v>
      </c>
      <c r="J158" s="73">
        <f>'Таблица №10'!K160</f>
        <v>0</v>
      </c>
    </row>
    <row r="159" spans="1:10" ht="96" outlineLevel="2">
      <c r="A159" s="52" t="str">
        <f>'Таблица №10'!A161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159" s="88" t="str">
        <f>'Таблица №10'!C161</f>
        <v>0701</v>
      </c>
      <c r="C159" s="88" t="str">
        <f>'Таблица №10'!D161</f>
        <v>22</v>
      </c>
      <c r="D159" s="88">
        <f>'Таблица №10'!E161</f>
        <v>0</v>
      </c>
      <c r="E159" s="88"/>
      <c r="F159" s="73">
        <f>'Таблица №10'!G161</f>
        <v>38.029</v>
      </c>
      <c r="G159" s="73">
        <f>'Таблица №10'!H161</f>
        <v>136.829</v>
      </c>
      <c r="H159" s="73">
        <f>'Таблица №10'!I161</f>
        <v>38.029</v>
      </c>
      <c r="I159" s="73">
        <f>'Таблица №10'!J161</f>
        <v>136.829</v>
      </c>
      <c r="J159" s="73">
        <f>'Таблица №10'!K161</f>
        <v>136.829</v>
      </c>
    </row>
    <row r="160" spans="1:10" ht="24" outlineLevel="2">
      <c r="A160" s="52" t="str">
        <f>'Таблица №10'!A162</f>
        <v>Предоставление субсидий бюджетным, автономным учреждениям и иным некоммерческим организациям</v>
      </c>
      <c r="B160" s="88" t="str">
        <f>'Таблица №10'!C162</f>
        <v>0701</v>
      </c>
      <c r="C160" s="88" t="str">
        <f>'Таблица №10'!D162</f>
        <v>22</v>
      </c>
      <c r="D160" s="88">
        <f>'Таблица №10'!E162</f>
        <v>0</v>
      </c>
      <c r="E160" s="88">
        <f>'Таблица №10'!F162</f>
        <v>600</v>
      </c>
      <c r="F160" s="73">
        <f>'Таблица №10'!G162</f>
        <v>38.029</v>
      </c>
      <c r="G160" s="73">
        <f>'Таблица №10'!H162</f>
        <v>136.829</v>
      </c>
      <c r="H160" s="73">
        <f>'Таблица №10'!I162</f>
        <v>38.029</v>
      </c>
      <c r="I160" s="73">
        <f>'Таблица №10'!J162</f>
        <v>136.829</v>
      </c>
      <c r="J160" s="73">
        <f>'Таблица №10'!K162</f>
        <v>136.829</v>
      </c>
    </row>
    <row r="161" spans="1:10" ht="36" outlineLevel="2">
      <c r="A161" s="52" t="str">
        <f>'Таблица №10'!A163</f>
        <v>Ведомственная целевая программа "Развитие дошкольного образования детей на территории Алексеевского муниципального района на 2019-2021 годы"</v>
      </c>
      <c r="B161" s="88" t="str">
        <f>'Таблица №10'!C163</f>
        <v>0701</v>
      </c>
      <c r="C161" s="88" t="str">
        <f>'Таблица №10'!D163</f>
        <v>52</v>
      </c>
      <c r="D161" s="88">
        <f>'Таблица №10'!E163</f>
        <v>0</v>
      </c>
      <c r="E161" s="88"/>
      <c r="F161" s="73">
        <f>'Таблица №10'!G163</f>
        <v>146.8</v>
      </c>
      <c r="G161" s="73">
        <f>'Таблица №10'!H163</f>
        <v>25343</v>
      </c>
      <c r="H161" s="73">
        <f>'Таблица №10'!I163</f>
        <v>-1906.2</v>
      </c>
      <c r="I161" s="73">
        <f>'Таблица №10'!J163</f>
        <v>23290</v>
      </c>
      <c r="J161" s="73">
        <f>'Таблица №10'!K163</f>
        <v>23910.799999999996</v>
      </c>
    </row>
    <row r="162" spans="1:10" ht="24" outlineLevel="2">
      <c r="A162" s="52" t="str">
        <f>'Таблица №10'!A164</f>
        <v>Предоставление субсидий бюджетным, автономным учреждениям и иным некоммерческим организациям</v>
      </c>
      <c r="B162" s="88" t="str">
        <f>'Таблица №10'!C164</f>
        <v>0701</v>
      </c>
      <c r="C162" s="88" t="str">
        <f>'Таблица №10'!D164</f>
        <v>52</v>
      </c>
      <c r="D162" s="88">
        <f>'Таблица №10'!E164</f>
        <v>0</v>
      </c>
      <c r="E162" s="88">
        <f>'Таблица №10'!F164</f>
        <v>600</v>
      </c>
      <c r="F162" s="73">
        <f>'Таблица №10'!G164</f>
        <v>0</v>
      </c>
      <c r="G162" s="73">
        <f>'Таблица №10'!H164</f>
        <v>10192.4</v>
      </c>
      <c r="H162" s="73">
        <f>'Таблица №10'!I164</f>
        <v>0</v>
      </c>
      <c r="I162" s="73">
        <f>'Таблица №10'!J164</f>
        <v>10192.4</v>
      </c>
      <c r="J162" s="73">
        <f>'Таблица №10'!K164</f>
        <v>10192.4</v>
      </c>
    </row>
    <row r="163" spans="1:10" ht="36" outlineLevel="2">
      <c r="A163" s="52" t="str">
        <f>'Таблица №10'!A165</f>
        <v>За счет средств областного бюджета на осуществление образовательного процесса муниципальными дошкольными образовательными организациями</v>
      </c>
      <c r="B163" s="88" t="str">
        <f>'Таблица №10'!C165</f>
        <v>0701</v>
      </c>
      <c r="C163" s="88" t="str">
        <f>'Таблица №10'!D165</f>
        <v>52</v>
      </c>
      <c r="D163" s="88">
        <f>'Таблица №10'!E165</f>
        <v>0</v>
      </c>
      <c r="E163" s="88">
        <f>'Таблица №10'!F165</f>
        <v>600</v>
      </c>
      <c r="F163" s="73">
        <f>'Таблица №10'!G165</f>
        <v>122.7</v>
      </c>
      <c r="G163" s="73">
        <f>'Таблица №10'!H165</f>
        <v>15126.5</v>
      </c>
      <c r="H163" s="73">
        <f>'Таблица №10'!I165</f>
        <v>-1930.3</v>
      </c>
      <c r="I163" s="73">
        <f>'Таблица №10'!J165</f>
        <v>13073.5</v>
      </c>
      <c r="J163" s="73">
        <f>'Таблица №10'!K165</f>
        <v>13694.3</v>
      </c>
    </row>
    <row r="164" spans="1:10" ht="46.5" customHeight="1" outlineLevel="2">
      <c r="A164" s="52" t="str">
        <f>'Таблица №10'!A166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64" s="88" t="str">
        <f>'Таблица №10'!C166</f>
        <v>0701</v>
      </c>
      <c r="C164" s="88" t="str">
        <f>'Таблица №10'!D166</f>
        <v>52</v>
      </c>
      <c r="D164" s="88">
        <f>'Таблица №10'!E166</f>
        <v>0</v>
      </c>
      <c r="E164" s="88">
        <f>'Таблица №10'!F166</f>
        <v>600</v>
      </c>
      <c r="F164" s="73">
        <f>'Таблица №10'!G166</f>
        <v>0</v>
      </c>
      <c r="G164" s="73">
        <f>'Таблица №10'!H166</f>
        <v>0</v>
      </c>
      <c r="H164" s="73">
        <f>'Таблица №10'!I166</f>
        <v>0</v>
      </c>
      <c r="I164" s="73">
        <f>'Таблица №10'!J166</f>
        <v>0</v>
      </c>
      <c r="J164" s="73">
        <f>'Таблица №10'!K166</f>
        <v>0</v>
      </c>
    </row>
    <row r="165" spans="1:10" ht="23.25" customHeight="1" outlineLevel="2">
      <c r="A165" s="52" t="str">
        <f>'Таблица №10'!A167</f>
        <v>За счет средств на расходы на осуществление социальных гарантий молодым специалистам</v>
      </c>
      <c r="B165" s="88" t="str">
        <f>'Таблица №10'!C167</f>
        <v>0701</v>
      </c>
      <c r="C165" s="88" t="str">
        <f>'Таблица №10'!D167</f>
        <v>52</v>
      </c>
      <c r="D165" s="88">
        <f>'Таблица №10'!E167</f>
        <v>0</v>
      </c>
      <c r="E165" s="88">
        <f>'Таблица №10'!F167</f>
        <v>600</v>
      </c>
      <c r="F165" s="73">
        <f>'Таблица №10'!G167</f>
        <v>24.1</v>
      </c>
      <c r="G165" s="73">
        <f>'Таблица №10'!H167</f>
        <v>24.1</v>
      </c>
      <c r="H165" s="73">
        <f>'Таблица №10'!I167</f>
        <v>24.1</v>
      </c>
      <c r="I165" s="73">
        <f>'Таблица №10'!J167</f>
        <v>24.1</v>
      </c>
      <c r="J165" s="73">
        <f>'Таблица №10'!K167</f>
        <v>24.1</v>
      </c>
    </row>
    <row r="166" spans="1:10" ht="108" hidden="1" outlineLevel="2">
      <c r="A166" s="52" t="str">
        <f>'Таблица №10'!A168</f>
        <v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66" s="88" t="str">
        <f>'Таблица №10'!C168</f>
        <v>0701</v>
      </c>
      <c r="C166" s="88" t="str">
        <f>'Таблица №10'!D168</f>
        <v>52</v>
      </c>
      <c r="D166" s="88">
        <f>'Таблица №10'!E168</f>
        <v>0</v>
      </c>
      <c r="E166" s="88">
        <f>'Таблица №10'!F168</f>
        <v>600</v>
      </c>
      <c r="F166" s="73">
        <f>'Таблица №10'!G168</f>
        <v>0</v>
      </c>
      <c r="G166" s="73">
        <f>'Таблица №10'!H168</f>
        <v>0</v>
      </c>
      <c r="H166" s="73">
        <f>'Таблица №10'!I168</f>
        <v>0</v>
      </c>
      <c r="I166" s="73">
        <f>'Таблица №10'!J168</f>
        <v>0</v>
      </c>
      <c r="J166" s="73">
        <f>'Таблица №10'!K168</f>
        <v>0</v>
      </c>
    </row>
    <row r="167" spans="1:10" ht="36" outlineLevel="2">
      <c r="A167" s="52" t="str">
        <f>'Таблица №10'!A169</f>
        <v>Ведомственная целевая программа "Развитие образования детей на территории  Алексеевского муниципального района на 2020-2022 годы"</v>
      </c>
      <c r="B167" s="88" t="str">
        <f>'Таблица №10'!C169</f>
        <v>0701</v>
      </c>
      <c r="C167" s="88" t="str">
        <f>'Таблица №10'!D169</f>
        <v>53</v>
      </c>
      <c r="D167" s="88">
        <f>'Таблица №10'!E169</f>
        <v>0</v>
      </c>
      <c r="E167" s="88"/>
      <c r="F167" s="73">
        <f>'Таблица №10'!G169</f>
        <v>708.1</v>
      </c>
      <c r="G167" s="73">
        <f>'Таблица №10'!H169</f>
        <v>12192</v>
      </c>
      <c r="H167" s="73">
        <f>'Таблица №10'!I169</f>
        <v>-540.5000000000001</v>
      </c>
      <c r="I167" s="73">
        <f>'Таблица №10'!J169</f>
        <v>10943.4</v>
      </c>
      <c r="J167" s="73">
        <f>'Таблица №10'!K169</f>
        <v>11320.9</v>
      </c>
    </row>
    <row r="168" spans="1:10" ht="12.75" outlineLevel="2">
      <c r="A168" s="52" t="str">
        <f>'Таблица №10'!A170</f>
        <v>Подпрограмма "Развитие дошкольного образования детей"</v>
      </c>
      <c r="B168" s="88" t="str">
        <f>'Таблица №10'!C170</f>
        <v>0701</v>
      </c>
      <c r="C168" s="88" t="str">
        <f>'Таблица №10'!D170</f>
        <v>53</v>
      </c>
      <c r="D168" s="88">
        <f>'Таблица №10'!E170</f>
        <v>1</v>
      </c>
      <c r="E168" s="88">
        <f>'Таблица №10'!F170</f>
        <v>0</v>
      </c>
      <c r="F168" s="73">
        <f>'Таблица №10'!G170</f>
        <v>708.1</v>
      </c>
      <c r="G168" s="73">
        <f>'Таблица №10'!H170</f>
        <v>12192</v>
      </c>
      <c r="H168" s="73">
        <f>'Таблица №10'!I170</f>
        <v>-540.5000000000001</v>
      </c>
      <c r="I168" s="73">
        <f>'Таблица №10'!J170</f>
        <v>10943.4</v>
      </c>
      <c r="J168" s="73">
        <f>'Таблица №10'!K170</f>
        <v>11320.9</v>
      </c>
    </row>
    <row r="169" spans="1:10" ht="74.25" customHeight="1" outlineLevel="2">
      <c r="A169" s="52" t="str">
        <f>'Таблица №10'!A171</f>
        <v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v>
      </c>
      <c r="B169" s="88" t="str">
        <f>'Таблица №10'!C171</f>
        <v>0701</v>
      </c>
      <c r="C169" s="88" t="str">
        <f>'Таблица №10'!D171</f>
        <v>53</v>
      </c>
      <c r="D169" s="88">
        <f>'Таблица №10'!E171</f>
        <v>1</v>
      </c>
      <c r="E169" s="88">
        <f>'Таблица №10'!F171</f>
        <v>600</v>
      </c>
      <c r="F169" s="73">
        <f>'Таблица №10'!G171</f>
        <v>-84.3</v>
      </c>
      <c r="G169" s="73">
        <f>'Таблица №10'!H171</f>
        <v>9192</v>
      </c>
      <c r="H169" s="73">
        <f>'Таблица №10'!I171</f>
        <v>-1332.9</v>
      </c>
      <c r="I169" s="73">
        <f>'Таблица №10'!J171</f>
        <v>7943.4</v>
      </c>
      <c r="J169" s="73">
        <f>'Таблица №10'!K171</f>
        <v>8320.9</v>
      </c>
    </row>
    <row r="170" spans="1:10" ht="51" customHeight="1" hidden="1" outlineLevel="2">
      <c r="A170" s="52" t="str">
        <f>'Таблица №10'!A172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70" s="88" t="str">
        <f>'Таблица №10'!C172</f>
        <v>0701</v>
      </c>
      <c r="C170" s="88" t="str">
        <f>'Таблица №10'!D172</f>
        <v>53</v>
      </c>
      <c r="D170" s="88">
        <f>'Таблица №10'!E172</f>
        <v>1</v>
      </c>
      <c r="E170" s="88">
        <f>'Таблица №10'!F172</f>
        <v>600</v>
      </c>
      <c r="F170" s="73">
        <f>'Таблица №10'!G172</f>
        <v>0</v>
      </c>
      <c r="G170" s="73">
        <f>'Таблица №10'!H172</f>
        <v>0</v>
      </c>
      <c r="H170" s="73">
        <f>'Таблица №10'!I172</f>
        <v>0</v>
      </c>
      <c r="I170" s="73">
        <f>'Таблица №10'!J172</f>
        <v>0</v>
      </c>
      <c r="J170" s="73">
        <f>'Таблица №10'!K172</f>
        <v>0</v>
      </c>
    </row>
    <row r="171" spans="1:10" ht="22.5" customHeight="1" outlineLevel="2">
      <c r="A171" s="52" t="str">
        <f>'Таблица №10'!A173</f>
        <v>Предоставление субсидий бюджетным, автономным учреждениям и иным некоммерческим организациям</v>
      </c>
      <c r="B171" s="88" t="str">
        <f>'Таблица №10'!C173</f>
        <v>0701</v>
      </c>
      <c r="C171" s="88" t="str">
        <f>'Таблица №10'!D173</f>
        <v>53</v>
      </c>
      <c r="D171" s="88">
        <f>'Таблица №10'!E173</f>
        <v>1</v>
      </c>
      <c r="E171" s="88">
        <f>'Таблица №10'!F173</f>
        <v>600</v>
      </c>
      <c r="F171" s="73">
        <f>'Таблица №10'!G173</f>
        <v>792.4</v>
      </c>
      <c r="G171" s="73">
        <f>'Таблица №10'!H173</f>
        <v>3000</v>
      </c>
      <c r="H171" s="73">
        <f>'Таблица №10'!I173</f>
        <v>792.4</v>
      </c>
      <c r="I171" s="73">
        <f>'Таблица №10'!J173</f>
        <v>3000</v>
      </c>
      <c r="J171" s="73">
        <f>'Таблица №10'!K173</f>
        <v>3000</v>
      </c>
    </row>
    <row r="172" spans="1:10" ht="71.25" customHeight="1" hidden="1" outlineLevel="2">
      <c r="A172" s="52" t="str">
        <f>'Таблица №10'!A174</f>
        <v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 и (или) перепрофилирование групп и (или)приобретение оборудования и (или) оснащение образовательных организаций, реализующих программы дошкольного образования, в которых планируется открытие мест для детей в возрасте от 1,5 лет до 3 лет </v>
      </c>
      <c r="B172" s="88" t="str">
        <f>'Таблица №10'!C174</f>
        <v>0701</v>
      </c>
      <c r="C172" s="88" t="str">
        <f>'Таблица №10'!D174</f>
        <v>53</v>
      </c>
      <c r="D172" s="88">
        <f>'Таблица №10'!E174</f>
        <v>0</v>
      </c>
      <c r="E172" s="88">
        <f>'Таблица №10'!F174</f>
        <v>600</v>
      </c>
      <c r="F172" s="73">
        <f>'Таблица №10'!G174</f>
        <v>0</v>
      </c>
      <c r="G172" s="73">
        <f>'Таблица №10'!H174</f>
        <v>0</v>
      </c>
      <c r="H172" s="73">
        <f>'Таблица №10'!I174</f>
        <v>0</v>
      </c>
      <c r="I172" s="73">
        <f>'Таблица №10'!J174</f>
        <v>0</v>
      </c>
      <c r="J172" s="73">
        <f>'Таблица №10'!K174</f>
        <v>0</v>
      </c>
    </row>
    <row r="173" spans="1:10" ht="39.75" customHeight="1" hidden="1" outlineLevel="2">
      <c r="A173" s="52" t="str">
        <f>'Таблица №10'!A175</f>
        <v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73" s="88" t="str">
        <f>'Таблица №10'!C175</f>
        <v>0701</v>
      </c>
      <c r="C173" s="88" t="str">
        <f>'Таблица №10'!D175</f>
        <v>53</v>
      </c>
      <c r="D173" s="88">
        <f>'Таблица №10'!E175</f>
        <v>0</v>
      </c>
      <c r="E173" s="88">
        <f>'Таблица №10'!F175</f>
        <v>600</v>
      </c>
      <c r="F173" s="73">
        <f>'Таблица №10'!G175</f>
        <v>0</v>
      </c>
      <c r="G173" s="73">
        <f>'Таблица №10'!H175</f>
        <v>0</v>
      </c>
      <c r="H173" s="73">
        <f>'Таблица №10'!I175</f>
        <v>0</v>
      </c>
      <c r="I173" s="73">
        <f>'Таблица №10'!J175</f>
        <v>0</v>
      </c>
      <c r="J173" s="73">
        <f>'Таблица №10'!K175</f>
        <v>0</v>
      </c>
    </row>
    <row r="174" spans="1:10" ht="12.75" outlineLevel="5">
      <c r="A174" s="52" t="str">
        <f>'Таблица №10'!A176</f>
        <v>Общее образование</v>
      </c>
      <c r="B174" s="88" t="str">
        <f>'Таблица №10'!C176</f>
        <v>0702</v>
      </c>
      <c r="C174" s="88"/>
      <c r="D174" s="88"/>
      <c r="E174" s="88"/>
      <c r="F174" s="73">
        <f>'Таблица №10'!G176</f>
        <v>22420.70306</v>
      </c>
      <c r="G174" s="73">
        <f>'Таблица №10'!H176</f>
        <v>183380.90306000004</v>
      </c>
      <c r="H174" s="73">
        <f>'Таблица №10'!I176</f>
        <v>12194.881999999998</v>
      </c>
      <c r="I174" s="73">
        <f>'Таблица №10'!J176</f>
        <v>169940.682</v>
      </c>
      <c r="J174" s="73">
        <f>'Таблица №10'!K176</f>
        <v>152873.08200000002</v>
      </c>
    </row>
    <row r="175" spans="1:10" ht="24" outlineLevel="5">
      <c r="A175" s="52" t="str">
        <f>'Таблица №10'!A177</f>
        <v>Школы-детские сады, школы начальные, неполные средние и средние</v>
      </c>
      <c r="B175" s="88" t="str">
        <f>'Таблица №10'!C177</f>
        <v>0702</v>
      </c>
      <c r="C175" s="88"/>
      <c r="D175" s="88"/>
      <c r="E175" s="88"/>
      <c r="F175" s="73">
        <f>'Таблица №10'!G177</f>
        <v>22420.70306</v>
      </c>
      <c r="G175" s="73">
        <f>'Таблица №10'!H177</f>
        <v>183380.90306000004</v>
      </c>
      <c r="H175" s="73">
        <f>'Таблица №10'!I177</f>
        <v>12194.881999999998</v>
      </c>
      <c r="I175" s="73">
        <f>'Таблица №10'!J177</f>
        <v>169940.682</v>
      </c>
      <c r="J175" s="73">
        <f>'Таблица №10'!K177</f>
        <v>152873.08200000002</v>
      </c>
    </row>
    <row r="176" spans="1:10" ht="37.5" customHeight="1" outlineLevel="5">
      <c r="A176" s="52" t="str">
        <f>'Таблица №10'!A178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176" s="88" t="str">
        <f>'Таблица №10'!C178</f>
        <v>0702</v>
      </c>
      <c r="C176" s="88" t="str">
        <f>'Таблица №10'!D178</f>
        <v>02</v>
      </c>
      <c r="D176" s="88">
        <f>'Таблица №10'!E178</f>
        <v>0</v>
      </c>
      <c r="E176" s="88"/>
      <c r="F176" s="73">
        <f>'Таблица №10'!G178</f>
        <v>368.42105999999995</v>
      </c>
      <c r="G176" s="73">
        <f>'Таблица №10'!H178</f>
        <v>7938.421060000001</v>
      </c>
      <c r="H176" s="73">
        <f>'Таблица №10'!I178</f>
        <v>5400</v>
      </c>
      <c r="I176" s="73">
        <f>'Таблица №10'!J178</f>
        <v>11400</v>
      </c>
      <c r="J176" s="73">
        <f>'Таблица №10'!K178</f>
        <v>6000</v>
      </c>
    </row>
    <row r="177" spans="1:10" ht="33.75" customHeight="1" outlineLevel="5">
      <c r="A177" s="52" t="str">
        <f>'Таблица №10'!A179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77" s="88" t="str">
        <f>'Таблица №10'!C179</f>
        <v>0702</v>
      </c>
      <c r="C177" s="88" t="str">
        <f>'Таблица №10'!D179</f>
        <v>02</v>
      </c>
      <c r="D177" s="88">
        <f>'Таблица №10'!E179</f>
        <v>3</v>
      </c>
      <c r="E177" s="88"/>
      <c r="F177" s="73">
        <f>'Таблица №10'!G179</f>
        <v>315.78947999999997</v>
      </c>
      <c r="G177" s="73">
        <f>'Таблица №10'!H179</f>
        <v>6315.78948</v>
      </c>
      <c r="H177" s="73">
        <f>'Таблица №10'!I179</f>
        <v>5400</v>
      </c>
      <c r="I177" s="73">
        <f>'Таблица №10'!J179</f>
        <v>11400</v>
      </c>
      <c r="J177" s="73">
        <f>'Таблица №10'!K179</f>
        <v>6000</v>
      </c>
    </row>
    <row r="178" spans="1:10" ht="24" hidden="1" outlineLevel="5">
      <c r="A178" s="52" t="str">
        <f>'Таблица №10'!A180</f>
        <v>Закупка товаров, работ и услуг для государственных (муниципальных) нужд</v>
      </c>
      <c r="B178" s="88" t="str">
        <f>'Таблица №10'!C180</f>
        <v>0702</v>
      </c>
      <c r="C178" s="88" t="str">
        <f>'Таблица №10'!D180</f>
        <v>02</v>
      </c>
      <c r="D178" s="88">
        <f>'Таблица №10'!E180</f>
        <v>3</v>
      </c>
      <c r="E178" s="88" t="s">
        <v>155</v>
      </c>
      <c r="F178" s="73">
        <f>'Таблица №10'!G180</f>
        <v>0</v>
      </c>
      <c r="G178" s="73">
        <f>'Таблица №10'!H180</f>
        <v>0</v>
      </c>
      <c r="H178" s="73">
        <f>'Таблица №10'!I180</f>
        <v>0</v>
      </c>
      <c r="I178" s="73">
        <f>'Таблица №10'!J180</f>
        <v>0</v>
      </c>
      <c r="J178" s="73">
        <f>'Таблица №10'!K180</f>
        <v>0</v>
      </c>
    </row>
    <row r="179" spans="1:10" ht="24" outlineLevel="5">
      <c r="A179" s="52" t="str">
        <f>'Таблица №10'!A181</f>
        <v>Предоставление субсидий бюджетным, автономным учреждениям и иным некоммерческим организациям</v>
      </c>
      <c r="B179" s="88" t="str">
        <f>'Таблица №10'!C181</f>
        <v>0702</v>
      </c>
      <c r="C179" s="88" t="str">
        <f>'Таблица №10'!D181</f>
        <v>02</v>
      </c>
      <c r="D179" s="88">
        <f>'Таблица №10'!E181</f>
        <v>3</v>
      </c>
      <c r="E179" s="88">
        <f>'Таблица №10'!F181</f>
        <v>600</v>
      </c>
      <c r="F179" s="73">
        <f>'Таблица №10'!G181</f>
        <v>315.78947999999997</v>
      </c>
      <c r="G179" s="73">
        <f>'Таблица №10'!H181</f>
        <v>6315.78948</v>
      </c>
      <c r="H179" s="73">
        <f>'Таблица №10'!I181</f>
        <v>5400</v>
      </c>
      <c r="I179" s="73">
        <f>'Таблица №10'!J181</f>
        <v>11400</v>
      </c>
      <c r="J179" s="73">
        <f>'Таблица №10'!K181</f>
        <v>6000</v>
      </c>
    </row>
    <row r="180" spans="1:10" ht="36.75" customHeight="1" outlineLevel="5">
      <c r="A180" s="52" t="str">
        <f>'Таблица №10'!A182</f>
        <v>Подпрограмма "Энергосбережение и повышение энергетической эффективности Алексеевского муниципального района"</v>
      </c>
      <c r="B180" s="88" t="str">
        <f>'Таблица №10'!C182</f>
        <v>0702</v>
      </c>
      <c r="C180" s="88" t="str">
        <f>'Таблица №10'!D182</f>
        <v>02</v>
      </c>
      <c r="D180" s="88">
        <f>'Таблица №10'!E182</f>
        <v>4</v>
      </c>
      <c r="E180" s="88"/>
      <c r="F180" s="73">
        <f>'Таблица №10'!G182</f>
        <v>52.63158</v>
      </c>
      <c r="G180" s="73">
        <f>'Таблица №10'!H182</f>
        <v>1622.63158</v>
      </c>
      <c r="H180" s="73">
        <f>'Таблица №10'!I182</f>
        <v>0</v>
      </c>
      <c r="I180" s="73">
        <f>'Таблица №10'!J182</f>
        <v>0</v>
      </c>
      <c r="J180" s="73">
        <f>'Таблица №10'!K182</f>
        <v>0</v>
      </c>
    </row>
    <row r="181" spans="1:10" ht="24" outlineLevel="5">
      <c r="A181" s="52" t="str">
        <f>'Таблица №10'!A183</f>
        <v>Закупка товаров, работ и услуг для государственных (муниципальных) нужд</v>
      </c>
      <c r="B181" s="88" t="str">
        <f>'Таблица №10'!C183</f>
        <v>0702</v>
      </c>
      <c r="C181" s="88" t="str">
        <f>'Таблица №10'!D183</f>
        <v>02</v>
      </c>
      <c r="D181" s="88">
        <f>'Таблица №10'!E183</f>
        <v>4</v>
      </c>
      <c r="E181" s="88">
        <f>'Таблица №10'!F183</f>
        <v>200</v>
      </c>
      <c r="F181" s="73">
        <f>'Таблица №10'!G183</f>
        <v>0</v>
      </c>
      <c r="G181" s="73">
        <f>'Таблица №10'!H183</f>
        <v>38</v>
      </c>
      <c r="H181" s="73">
        <f>'Таблица №10'!I183</f>
        <v>0</v>
      </c>
      <c r="I181" s="73">
        <f>'Таблица №10'!J183</f>
        <v>0</v>
      </c>
      <c r="J181" s="73">
        <f>'Таблица №10'!K183</f>
        <v>0</v>
      </c>
    </row>
    <row r="182" spans="1:10" ht="24" outlineLevel="5">
      <c r="A182" s="52" t="str">
        <f>'Таблица №10'!A184</f>
        <v>Предоставление субсидий бюджетным, автономным учреждениям и иным некоммерческим организациям</v>
      </c>
      <c r="B182" s="88" t="str">
        <f>'Таблица №10'!C184</f>
        <v>0702</v>
      </c>
      <c r="C182" s="88" t="str">
        <f>'Таблица №10'!D184</f>
        <v>02</v>
      </c>
      <c r="D182" s="88">
        <f>'Таблица №10'!E184</f>
        <v>4</v>
      </c>
      <c r="E182" s="88">
        <f>'Таблица №10'!F184</f>
        <v>600</v>
      </c>
      <c r="F182" s="73">
        <f>'Таблица №10'!G184</f>
        <v>0</v>
      </c>
      <c r="G182" s="73">
        <f>'Таблица №10'!H184</f>
        <v>532</v>
      </c>
      <c r="H182" s="73">
        <f>'Таблица №10'!I184</f>
        <v>0</v>
      </c>
      <c r="I182" s="73">
        <f>'Таблица №10'!J184</f>
        <v>0</v>
      </c>
      <c r="J182" s="73">
        <f>'Таблица №10'!K184</f>
        <v>0</v>
      </c>
    </row>
    <row r="183" spans="1:10" ht="60" outlineLevel="5">
      <c r="A183" s="52" t="str">
        <f>'Таблица №10'!A185</f>
        <v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v>
      </c>
      <c r="B183" s="88" t="str">
        <f>'Таблица №10'!C185</f>
        <v>0702</v>
      </c>
      <c r="C183" s="88" t="str">
        <f>'Таблица №10'!D185</f>
        <v>02</v>
      </c>
      <c r="D183" s="88">
        <f>'Таблица №10'!E185</f>
        <v>4</v>
      </c>
      <c r="E183" s="88">
        <f>'Таблица №10'!F185</f>
        <v>600</v>
      </c>
      <c r="F183" s="73">
        <f>'Таблица №10'!G185</f>
        <v>52.63158</v>
      </c>
      <c r="G183" s="73">
        <f>'Таблица №10'!H185</f>
        <v>1052.63158</v>
      </c>
      <c r="H183" s="73">
        <f>'Таблица №10'!I185</f>
        <v>0</v>
      </c>
      <c r="I183" s="73">
        <f>'Таблица №10'!J185</f>
        <v>0</v>
      </c>
      <c r="J183" s="73">
        <f>'Таблица №10'!K185</f>
        <v>0</v>
      </c>
    </row>
    <row r="184" spans="1:10" ht="36" hidden="1" outlineLevel="5">
      <c r="A184" s="52" t="str">
        <f>'Таблица №10'!A186</f>
        <v>Муниципальная программа "Развитие физической культуры и спорта в Алексеевском муниципальном районе на 2019-2023 годы"</v>
      </c>
      <c r="B184" s="88" t="str">
        <f>'Таблица №10'!C186</f>
        <v>0702</v>
      </c>
      <c r="C184" s="88" t="str">
        <f>'Таблица №10'!D186</f>
        <v>17</v>
      </c>
      <c r="D184" s="88">
        <f>'Таблица №10'!E186</f>
        <v>0</v>
      </c>
      <c r="E184" s="88"/>
      <c r="F184" s="73">
        <f>'Таблица №10'!G186</f>
        <v>0</v>
      </c>
      <c r="G184" s="73">
        <f>'Таблица №10'!H186</f>
        <v>0</v>
      </c>
      <c r="H184" s="73">
        <f>'Таблица №10'!I186</f>
        <v>0</v>
      </c>
      <c r="I184" s="73">
        <f>'Таблица №10'!J186</f>
        <v>0</v>
      </c>
      <c r="J184" s="73">
        <f>'Таблица №10'!K186</f>
        <v>0</v>
      </c>
    </row>
    <row r="185" spans="1:10" ht="84" hidden="1" outlineLevel="5">
      <c r="A185" s="52" t="str">
        <f>'Таблица №10'!A187</f>
        <v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85" s="88" t="str">
        <f>'Таблица №10'!C187</f>
        <v>0702</v>
      </c>
      <c r="C185" s="88" t="str">
        <f>'Таблица №10'!D187</f>
        <v>17</v>
      </c>
      <c r="D185" s="88">
        <f>'Таблица №10'!E187</f>
        <v>0</v>
      </c>
      <c r="E185" s="88">
        <f>'Таблица №10'!F187</f>
        <v>600</v>
      </c>
      <c r="F185" s="73">
        <f>'Таблица №10'!G187</f>
        <v>0</v>
      </c>
      <c r="G185" s="73">
        <f>'Таблица №10'!H187</f>
        <v>0</v>
      </c>
      <c r="H185" s="73">
        <f>'Таблица №10'!I187</f>
        <v>0</v>
      </c>
      <c r="I185" s="73">
        <f>'Таблица №10'!J187</f>
        <v>0</v>
      </c>
      <c r="J185" s="73">
        <f>'Таблица №10'!K187</f>
        <v>0</v>
      </c>
    </row>
    <row r="186" spans="1:10" ht="84" hidden="1" outlineLevel="5">
      <c r="A186" s="52" t="str">
        <f>'Таблица №10'!A188</f>
        <v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86" s="88" t="str">
        <f>'Таблица №10'!C188</f>
        <v>0702</v>
      </c>
      <c r="C186" s="88" t="str">
        <f>'Таблица №10'!D188</f>
        <v>17</v>
      </c>
      <c r="D186" s="88">
        <f>'Таблица №10'!E188</f>
        <v>0</v>
      </c>
      <c r="E186" s="88">
        <f>'Таблица №10'!F188</f>
        <v>600</v>
      </c>
      <c r="F186" s="73">
        <f>'Таблица №10'!G188</f>
        <v>0</v>
      </c>
      <c r="G186" s="73">
        <f>'Таблица №10'!H188</f>
        <v>0</v>
      </c>
      <c r="H186" s="73">
        <f>'Таблица №10'!I188</f>
        <v>0</v>
      </c>
      <c r="I186" s="73">
        <f>'Таблица №10'!J188</f>
        <v>0</v>
      </c>
      <c r="J186" s="73">
        <f>'Таблица №10'!K188</f>
        <v>0</v>
      </c>
    </row>
    <row r="187" spans="1:10" ht="96" outlineLevel="5">
      <c r="A187" s="52" t="str">
        <f>'Таблица №10'!A189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187" s="88" t="str">
        <f>'Таблица №10'!C189</f>
        <v>0702</v>
      </c>
      <c r="C187" s="88" t="str">
        <f>'Таблица №10'!D189</f>
        <v>22</v>
      </c>
      <c r="D187" s="88">
        <f>'Таблица №10'!E189</f>
        <v>0</v>
      </c>
      <c r="E187" s="88"/>
      <c r="F187" s="73">
        <f>'Таблица №10'!G189</f>
        <v>96.282</v>
      </c>
      <c r="G187" s="73">
        <f>'Таблица №10'!H189</f>
        <v>898.282</v>
      </c>
      <c r="H187" s="73">
        <f>'Таблица №10'!I189</f>
        <v>96.282</v>
      </c>
      <c r="I187" s="73">
        <f>'Таблица №10'!J189</f>
        <v>898.282</v>
      </c>
      <c r="J187" s="73">
        <f>'Таблица №10'!K189</f>
        <v>898.282</v>
      </c>
    </row>
    <row r="188" spans="1:10" ht="24" outlineLevel="5">
      <c r="A188" s="52" t="str">
        <f>'Таблица №10'!A190</f>
        <v>Закупка товаров, работ и услуг для государственных (муниципальных) нужд</v>
      </c>
      <c r="B188" s="88" t="str">
        <f>'Таблица №10'!C190</f>
        <v>0702</v>
      </c>
      <c r="C188" s="88" t="str">
        <f>'Таблица №10'!D190</f>
        <v>22</v>
      </c>
      <c r="D188" s="88">
        <f>'Таблица №10'!E190</f>
        <v>0</v>
      </c>
      <c r="E188" s="88">
        <f>'Таблица №10'!F190</f>
        <v>200</v>
      </c>
      <c r="F188" s="73">
        <f>'Таблица №10'!G190</f>
        <v>19.08</v>
      </c>
      <c r="G188" s="73">
        <f>'Таблица №10'!H190</f>
        <v>55.08</v>
      </c>
      <c r="H188" s="73">
        <f>'Таблица №10'!I190</f>
        <v>19.08</v>
      </c>
      <c r="I188" s="73">
        <f>'Таблица №10'!J190</f>
        <v>55.08</v>
      </c>
      <c r="J188" s="73">
        <f>'Таблица №10'!K190</f>
        <v>55.08</v>
      </c>
    </row>
    <row r="189" spans="1:10" ht="24" outlineLevel="5">
      <c r="A189" s="52" t="str">
        <f>'Таблица №10'!A191</f>
        <v>Предоставление субсидий бюджетным, автономным учреждениям и иным некоммерческим организациям</v>
      </c>
      <c r="B189" s="88" t="str">
        <f>'Таблица №10'!C191</f>
        <v>0702</v>
      </c>
      <c r="C189" s="88" t="str">
        <f>'Таблица №10'!D191</f>
        <v>22</v>
      </c>
      <c r="D189" s="88">
        <f>'Таблица №10'!E191</f>
        <v>0</v>
      </c>
      <c r="E189" s="88">
        <f>'Таблица №10'!F191</f>
        <v>600</v>
      </c>
      <c r="F189" s="73">
        <f>'Таблица №10'!G191</f>
        <v>77.202</v>
      </c>
      <c r="G189" s="73">
        <f>'Таблица №10'!H191</f>
        <v>843.202</v>
      </c>
      <c r="H189" s="73">
        <f>'Таблица №10'!I191</f>
        <v>77.202</v>
      </c>
      <c r="I189" s="73">
        <f>'Таблица №10'!J191</f>
        <v>843.202</v>
      </c>
      <c r="J189" s="73">
        <f>'Таблица №10'!K191</f>
        <v>843.202</v>
      </c>
    </row>
    <row r="190" spans="1:10" ht="36" outlineLevel="5">
      <c r="A190" s="52" t="str">
        <f>'Таблица №10'!A192</f>
        <v>Ведомственная целевая программа "Развитие образования детей на территории  Алексеевского муниципального района на 2020-2022 годы"</v>
      </c>
      <c r="B190" s="88" t="str">
        <f>'Таблица №10'!C192</f>
        <v>0702</v>
      </c>
      <c r="C190" s="88" t="str">
        <f>'Таблица №10'!D192</f>
        <v>53</v>
      </c>
      <c r="D190" s="88">
        <f>'Таблица №10'!E192</f>
        <v>0</v>
      </c>
      <c r="E190" s="88"/>
      <c r="F190" s="73">
        <f>'Таблица №10'!G192</f>
        <v>21956</v>
      </c>
      <c r="G190" s="73">
        <f>'Таблица №10'!H192</f>
        <v>174544.20000000004</v>
      </c>
      <c r="H190" s="73">
        <f>'Таблица №10'!I192</f>
        <v>6698.599999999998</v>
      </c>
      <c r="I190" s="73">
        <f>'Таблица №10'!J192</f>
        <v>157642.4</v>
      </c>
      <c r="J190" s="73">
        <f>'Таблица №10'!K192</f>
        <v>145974.80000000002</v>
      </c>
    </row>
    <row r="191" spans="1:10" ht="12.75" outlineLevel="5">
      <c r="A191" s="52" t="str">
        <f>'Таблица №10'!A193</f>
        <v>Подпрограмма "Развитие общего образования детей"</v>
      </c>
      <c r="B191" s="88" t="str">
        <f>'Таблица №10'!C193</f>
        <v>0702</v>
      </c>
      <c r="C191" s="88" t="str">
        <f>'Таблица №10'!D193</f>
        <v>53</v>
      </c>
      <c r="D191" s="88">
        <f>'Таблица №10'!E193</f>
        <v>2</v>
      </c>
      <c r="E191" s="88" t="s">
        <v>9</v>
      </c>
      <c r="F191" s="73">
        <f>'Таблица №10'!G193</f>
        <v>21956</v>
      </c>
      <c r="G191" s="73">
        <f>'Таблица №10'!H193</f>
        <v>174544.20000000004</v>
      </c>
      <c r="H191" s="73">
        <f>'Таблица №10'!I193</f>
        <v>6698.599999999998</v>
      </c>
      <c r="I191" s="73">
        <f>'Таблица №10'!J193</f>
        <v>157642.4</v>
      </c>
      <c r="J191" s="73">
        <f>'Таблица №10'!K193</f>
        <v>145974.80000000002</v>
      </c>
    </row>
    <row r="192" spans="1:10" ht="12.75" outlineLevel="5">
      <c r="A192" s="52" t="str">
        <f>'Таблица №10'!A194</f>
        <v>За счет средств бюджета муниципального района</v>
      </c>
      <c r="B192" s="88" t="str">
        <f>'Таблица №10'!C194</f>
        <v>0702</v>
      </c>
      <c r="C192" s="88" t="str">
        <f>'Таблица №10'!D194</f>
        <v>53</v>
      </c>
      <c r="D192" s="88">
        <f>'Таблица №10'!E194</f>
        <v>2</v>
      </c>
      <c r="E192" s="88" t="s">
        <v>9</v>
      </c>
      <c r="F192" s="73">
        <f>'Таблица №10'!G194</f>
        <v>4105</v>
      </c>
      <c r="G192" s="73">
        <f>'Таблица №10'!H194</f>
        <v>22441.1</v>
      </c>
      <c r="H192" s="73">
        <f>'Таблица №10'!I194</f>
        <v>4105</v>
      </c>
      <c r="I192" s="73">
        <f>'Таблица №10'!J194</f>
        <v>22441.1</v>
      </c>
      <c r="J192" s="73">
        <f>'Таблица №10'!K194</f>
        <v>20524.7</v>
      </c>
    </row>
    <row r="193" spans="1:10" ht="48" outlineLevel="5">
      <c r="A193" s="52" t="str">
        <f>'Таблица №10'!A195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93" s="88" t="str">
        <f>'Таблица №10'!C195</f>
        <v>0702</v>
      </c>
      <c r="C193" s="88" t="str">
        <f>'Таблица №10'!D195</f>
        <v>53</v>
      </c>
      <c r="D193" s="88">
        <f>'Таблица №10'!E195</f>
        <v>2</v>
      </c>
      <c r="E193" s="88">
        <f>'Таблица №10'!F195</f>
        <v>100</v>
      </c>
      <c r="F193" s="73">
        <f>'Таблица №10'!G195</f>
        <v>300</v>
      </c>
      <c r="G193" s="73">
        <f>'Таблица №10'!H195</f>
        <v>327.1</v>
      </c>
      <c r="H193" s="73">
        <f>'Таблица №10'!I195</f>
        <v>300</v>
      </c>
      <c r="I193" s="73">
        <f>'Таблица №10'!J195</f>
        <v>327.1</v>
      </c>
      <c r="J193" s="73">
        <f>'Таблица №10'!K195</f>
        <v>327.1</v>
      </c>
    </row>
    <row r="194" spans="1:10" ht="24" outlineLevel="5">
      <c r="A194" s="52" t="str">
        <f>'Таблица №10'!A196</f>
        <v>Закупка товаров, работ и услуг для государственных (муниципальных) нужд</v>
      </c>
      <c r="B194" s="88" t="str">
        <f>'Таблица №10'!C196</f>
        <v>0702</v>
      </c>
      <c r="C194" s="88" t="str">
        <f>'Таблица №10'!D196</f>
        <v>53</v>
      </c>
      <c r="D194" s="88">
        <f>'Таблица №10'!E196</f>
        <v>2</v>
      </c>
      <c r="E194" s="88">
        <f>'Таблица №10'!F196</f>
        <v>200</v>
      </c>
      <c r="F194" s="73">
        <f>'Таблица №10'!G196</f>
        <v>0</v>
      </c>
      <c r="G194" s="73">
        <f>'Таблица №10'!H196</f>
        <v>1147.4</v>
      </c>
      <c r="H194" s="73">
        <f>'Таблица №10'!I196</f>
        <v>0</v>
      </c>
      <c r="I194" s="73">
        <f>'Таблица №10'!J196</f>
        <v>1147.4</v>
      </c>
      <c r="J194" s="73">
        <f>'Таблица №10'!K196</f>
        <v>1147.4</v>
      </c>
    </row>
    <row r="195" spans="1:10" ht="48" outlineLevel="5">
      <c r="A195" s="52" t="str">
        <f>'Таблица №10'!A197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195" s="88" t="str">
        <f>'Таблица №10'!C197</f>
        <v>0702</v>
      </c>
      <c r="C195" s="88" t="str">
        <f>'Таблица №10'!D197</f>
        <v>53</v>
      </c>
      <c r="D195" s="88">
        <f>'Таблица №10'!E197</f>
        <v>2</v>
      </c>
      <c r="E195" s="88">
        <f>'Таблица №10'!F197</f>
        <v>200</v>
      </c>
      <c r="F195" s="73">
        <f>'Таблица №10'!G197</f>
        <v>24.1</v>
      </c>
      <c r="G195" s="73">
        <f>'Таблица №10'!H197</f>
        <v>24.1</v>
      </c>
      <c r="H195" s="73">
        <f>'Таблица №10'!I197</f>
        <v>25.6</v>
      </c>
      <c r="I195" s="73">
        <f>'Таблица №10'!J197</f>
        <v>25.6</v>
      </c>
      <c r="J195" s="73">
        <f>'Таблица №10'!K197</f>
        <v>0</v>
      </c>
    </row>
    <row r="196" spans="1:10" ht="48" outlineLevel="5">
      <c r="A196" s="52" t="str">
        <f>'Таблица №10'!A197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196" s="88" t="str">
        <f>'Таблица №10'!C197</f>
        <v>0702</v>
      </c>
      <c r="C196" s="88" t="str">
        <f>'Таблица №10'!D197</f>
        <v>53</v>
      </c>
      <c r="D196" s="88">
        <f>'Таблица №10'!E197</f>
        <v>2</v>
      </c>
      <c r="E196" s="88" t="s">
        <v>155</v>
      </c>
      <c r="F196" s="73">
        <f>'Таблица №10'!G197</f>
        <v>24.1</v>
      </c>
      <c r="G196" s="73">
        <f>'Таблица №10'!H197</f>
        <v>24.1</v>
      </c>
      <c r="H196" s="73">
        <f>'Таблица №10'!I197</f>
        <v>25.6</v>
      </c>
      <c r="I196" s="73">
        <f>'Таблица №10'!J197</f>
        <v>25.6</v>
      </c>
      <c r="J196" s="73">
        <f>'Таблица №10'!K197</f>
        <v>0</v>
      </c>
    </row>
    <row r="197" spans="1:10" ht="12.75" outlineLevel="5">
      <c r="A197" s="52" t="str">
        <f>'Таблица №10'!A198</f>
        <v>Иные бюджетные ассигнования</v>
      </c>
      <c r="B197" s="88" t="str">
        <f>'Таблица №10'!C198</f>
        <v>0702</v>
      </c>
      <c r="C197" s="88" t="str">
        <f>'Таблица №10'!D198</f>
        <v>53</v>
      </c>
      <c r="D197" s="88">
        <f>'Таблица №10'!E198</f>
        <v>2</v>
      </c>
      <c r="E197" s="88">
        <f>'Таблица №10'!F198</f>
        <v>800</v>
      </c>
      <c r="F197" s="73">
        <f>'Таблица №10'!G198</f>
        <v>0</v>
      </c>
      <c r="G197" s="73">
        <f>'Таблица №10'!H198</f>
        <v>50.2</v>
      </c>
      <c r="H197" s="73">
        <f>'Таблица №10'!I198</f>
        <v>0</v>
      </c>
      <c r="I197" s="73">
        <f>'Таблица №10'!J198</f>
        <v>50.2</v>
      </c>
      <c r="J197" s="73">
        <f>'Таблица №10'!K198</f>
        <v>50.2</v>
      </c>
    </row>
    <row r="198" spans="1:10" ht="26.25" customHeight="1" outlineLevel="5">
      <c r="A198" s="52" t="str">
        <f>'Таблица №10'!A199</f>
        <v>Предоставление субсидий бюджетным, автономным учреждениям и иным некоммерческим организациям</v>
      </c>
      <c r="B198" s="88" t="str">
        <f>'Таблица №10'!C199</f>
        <v>0702</v>
      </c>
      <c r="C198" s="88" t="str">
        <f>'Таблица №10'!D199</f>
        <v>53</v>
      </c>
      <c r="D198" s="88">
        <f>'Таблица №10'!E199</f>
        <v>2</v>
      </c>
      <c r="E198" s="88">
        <f>'Таблица №10'!F199</f>
        <v>600</v>
      </c>
      <c r="F198" s="73">
        <f>'Таблица №10'!G199</f>
        <v>1888.6</v>
      </c>
      <c r="G198" s="73">
        <f>'Таблица №10'!H199</f>
        <v>19000</v>
      </c>
      <c r="H198" s="73">
        <f>'Таблица №10'!I199</f>
        <v>1888.6</v>
      </c>
      <c r="I198" s="73">
        <f>'Таблица №10'!J199</f>
        <v>19000</v>
      </c>
      <c r="J198" s="73">
        <f>'Таблица №10'!K199</f>
        <v>19000</v>
      </c>
    </row>
    <row r="199" spans="1:10" ht="26.25" customHeight="1" outlineLevel="5">
      <c r="A199" s="52" t="str">
        <f>'Таблица №10'!A200</f>
        <v>Предоставление субсидий бюджетным, автономным учреждениям и иным некоммерческим организациям(софинансирование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199" s="88" t="str">
        <f>'Таблица №10'!C200</f>
        <v>0702</v>
      </c>
      <c r="C199" s="88" t="str">
        <f>'Таблица №10'!D200</f>
        <v>53</v>
      </c>
      <c r="D199" s="88">
        <f>'Таблица №10'!E200</f>
        <v>2</v>
      </c>
      <c r="E199" s="88">
        <f>'Таблица №10'!F200</f>
        <v>600</v>
      </c>
      <c r="F199" s="73">
        <f>'Таблица №10'!G200</f>
        <v>1892.3</v>
      </c>
      <c r="G199" s="73">
        <f>'Таблица №10'!H200</f>
        <v>1892.3</v>
      </c>
      <c r="H199" s="73">
        <f>'Таблица №10'!I200</f>
        <v>1890.8</v>
      </c>
      <c r="I199" s="73">
        <f>'Таблица №10'!J200</f>
        <v>1890.8</v>
      </c>
      <c r="J199" s="73">
        <f>'Таблица №10'!K200</f>
        <v>0</v>
      </c>
    </row>
    <row r="200" spans="1:10" ht="12.75" outlineLevel="5">
      <c r="A200" s="52" t="str">
        <f>'Таблица №10'!A201</f>
        <v>За счет средств областного бюджета </v>
      </c>
      <c r="B200" s="88" t="str">
        <f>'Таблица №10'!C201</f>
        <v>0702</v>
      </c>
      <c r="C200" s="88" t="str">
        <f>'Таблица №10'!D201</f>
        <v>53</v>
      </c>
      <c r="D200" s="88">
        <f>'Таблица №10'!E201</f>
        <v>2</v>
      </c>
      <c r="E200" s="88" t="s">
        <v>9</v>
      </c>
      <c r="F200" s="73">
        <f>'Таблица №10'!G201</f>
        <v>17851</v>
      </c>
      <c r="G200" s="73">
        <f>'Таблица №10'!H201</f>
        <v>152103.10000000003</v>
      </c>
      <c r="H200" s="73">
        <f>'Таблица №10'!I201</f>
        <v>2593.5999999999976</v>
      </c>
      <c r="I200" s="73">
        <f>'Таблица №10'!J201</f>
        <v>135201.3</v>
      </c>
      <c r="J200" s="73">
        <f>'Таблица №10'!K201</f>
        <v>125450.10000000002</v>
      </c>
    </row>
    <row r="201" spans="1:10" ht="33.75" customHeight="1" outlineLevel="5">
      <c r="A201" s="52" t="str">
        <f>'Таблица №10'!A202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01" s="88" t="str">
        <f>'Таблица №10'!C202</f>
        <v>0702</v>
      </c>
      <c r="C201" s="88" t="str">
        <f>'Таблица №10'!D202</f>
        <v>53</v>
      </c>
      <c r="D201" s="88">
        <f>'Таблица №10'!E202</f>
        <v>2</v>
      </c>
      <c r="E201" s="88">
        <f>'Таблица №10'!F202</f>
        <v>100</v>
      </c>
      <c r="F201" s="73">
        <f>'Таблица №10'!G202</f>
        <v>-1056.6</v>
      </c>
      <c r="G201" s="73">
        <f>'Таблица №10'!H202</f>
        <v>5886</v>
      </c>
      <c r="H201" s="73">
        <f>'Таблица №10'!I202</f>
        <v>-1056.6</v>
      </c>
      <c r="I201" s="73">
        <f>'Таблица №10'!J202</f>
        <v>5886</v>
      </c>
      <c r="J201" s="73">
        <f>'Таблица №10'!K202</f>
        <v>5886</v>
      </c>
    </row>
    <row r="202" spans="1:10" ht="42" customHeight="1" hidden="1" outlineLevel="5">
      <c r="A202" s="52" t="str">
        <f>'Таблица №10'!A203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v>
      </c>
      <c r="B202" s="88" t="str">
        <f>'Таблица №10'!C203</f>
        <v>0702</v>
      </c>
      <c r="C202" s="88" t="str">
        <f>'Таблица №10'!D203</f>
        <v>53</v>
      </c>
      <c r="D202" s="88">
        <f>'Таблица №10'!E203</f>
        <v>2</v>
      </c>
      <c r="E202" s="88">
        <f>'Таблица №10'!F203</f>
        <v>100</v>
      </c>
      <c r="F202" s="73">
        <f>'Таблица №10'!G203</f>
        <v>0</v>
      </c>
      <c r="G202" s="73">
        <f>'Таблица №10'!H203</f>
        <v>0</v>
      </c>
      <c r="H202" s="73">
        <f>'Таблица №10'!I203</f>
        <v>0</v>
      </c>
      <c r="I202" s="73">
        <f>'Таблица №10'!J203</f>
        <v>0</v>
      </c>
      <c r="J202" s="73">
        <f>'Таблица №10'!K203</f>
        <v>0</v>
      </c>
    </row>
    <row r="203" spans="1:10" ht="36" outlineLevel="5">
      <c r="A203" s="52" t="str">
        <f>'Таблица №10'!A204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03" s="88" t="str">
        <f>'Таблица №10'!C204</f>
        <v>0702</v>
      </c>
      <c r="C203" s="88" t="str">
        <f>'Таблица №10'!D204</f>
        <v>53</v>
      </c>
      <c r="D203" s="88">
        <f>'Таблица №10'!E204</f>
        <v>2</v>
      </c>
      <c r="E203" s="88">
        <f>'Таблица №10'!F204</f>
        <v>100</v>
      </c>
      <c r="F203" s="73">
        <f>'Таблица №10'!G204</f>
        <v>781.2</v>
      </c>
      <c r="G203" s="73">
        <f>'Таблица №10'!H204</f>
        <v>781.2</v>
      </c>
      <c r="H203" s="73">
        <f>'Таблица №10'!I204</f>
        <v>781.2</v>
      </c>
      <c r="I203" s="73">
        <f>'Таблица №10'!J204</f>
        <v>781.2</v>
      </c>
      <c r="J203" s="73">
        <f>'Таблица №10'!K204</f>
        <v>0</v>
      </c>
    </row>
    <row r="204" spans="1:10" ht="30" customHeight="1" outlineLevel="5">
      <c r="A204" s="52" t="str">
        <f>'Таблица №10'!A205</f>
        <v>Закупка товаров, работ и услуг для государственных (муниципальных) нужд</v>
      </c>
      <c r="B204" s="88" t="str">
        <f>'Таблица №10'!C205</f>
        <v>0702</v>
      </c>
      <c r="C204" s="88" t="str">
        <f>'Таблица №10'!D205</f>
        <v>53</v>
      </c>
      <c r="D204" s="88">
        <f>'Таблица №10'!E205</f>
        <v>2</v>
      </c>
      <c r="E204" s="88">
        <f>'Таблица №10'!F205</f>
        <v>200</v>
      </c>
      <c r="F204" s="73">
        <f>'Таблица №10'!G205</f>
        <v>-79.6</v>
      </c>
      <c r="G204" s="73">
        <f>'Таблица №10'!H205</f>
        <v>443</v>
      </c>
      <c r="H204" s="73">
        <f>'Таблица №10'!I205</f>
        <v>-79.6</v>
      </c>
      <c r="I204" s="73">
        <f>'Таблица №10'!J205</f>
        <v>443</v>
      </c>
      <c r="J204" s="73">
        <f>'Таблица №10'!K205</f>
        <v>443</v>
      </c>
    </row>
    <row r="205" spans="1:10" ht="24" customHeight="1" outlineLevel="5">
      <c r="A205" s="52" t="str">
        <f>'Таблица №10'!A206</f>
        <v>За счет средств областного бюджета на питание</v>
      </c>
      <c r="B205" s="88" t="str">
        <f>'Таблица №10'!C206</f>
        <v>0702</v>
      </c>
      <c r="C205" s="88" t="str">
        <f>'Таблица №10'!D206</f>
        <v>53</v>
      </c>
      <c r="D205" s="88">
        <f>'Таблица №10'!E206</f>
        <v>2</v>
      </c>
      <c r="E205" s="88">
        <f>'Таблица №10'!F206</f>
        <v>200</v>
      </c>
      <c r="F205" s="73">
        <f>'Таблица №10'!G206</f>
        <v>-43.8</v>
      </c>
      <c r="G205" s="73">
        <f>'Таблица №10'!H206</f>
        <v>74</v>
      </c>
      <c r="H205" s="73">
        <f>'Таблица №10'!I206</f>
        <v>0</v>
      </c>
      <c r="I205" s="73">
        <f>'Таблица №10'!J206</f>
        <v>75.9</v>
      </c>
      <c r="J205" s="73">
        <f>'Таблица №10'!K206</f>
        <v>75.9</v>
      </c>
    </row>
    <row r="206" spans="1:10" ht="24.75" customHeight="1" outlineLevel="5">
      <c r="A206" s="52" t="str">
        <f>'Таблица №10'!A207</f>
        <v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v>
      </c>
      <c r="B206" s="88" t="str">
        <f>'Таблица №10'!C207</f>
        <v>0702</v>
      </c>
      <c r="C206" s="88" t="str">
        <f>'Таблица №10'!D207</f>
        <v>53</v>
      </c>
      <c r="D206" s="88">
        <f>'Таблица №10'!E207</f>
        <v>2</v>
      </c>
      <c r="E206" s="88">
        <f>'Таблица №10'!F207</f>
        <v>200</v>
      </c>
      <c r="F206" s="73">
        <f>'Таблица №10'!G207</f>
        <v>74</v>
      </c>
      <c r="G206" s="73">
        <f>'Таблица №10'!H207</f>
        <v>74</v>
      </c>
      <c r="H206" s="73">
        <f>'Таблица №10'!I207</f>
        <v>78.4</v>
      </c>
      <c r="I206" s="73">
        <f>'Таблица №10'!J207</f>
        <v>78.4</v>
      </c>
      <c r="J206" s="73">
        <f>'Таблица №10'!K207</f>
        <v>0</v>
      </c>
    </row>
    <row r="207" spans="1:10" ht="60" outlineLevel="5">
      <c r="A207" s="52" t="str">
        <f>'Таблица №10'!A208</f>
        <v>Предоставление субсидий бюджетным, автономным учреждениям и иным некоммерческим организациям(реализация мероприятий по организации бесплатного горячего питания обучающихся, получающих начальное общее образование)</v>
      </c>
      <c r="B207" s="88" t="str">
        <f>'Таблица №10'!C208</f>
        <v>0702</v>
      </c>
      <c r="C207" s="88" t="str">
        <f>'Таблица №10'!D208</f>
        <v>53</v>
      </c>
      <c r="D207" s="88">
        <f>'Таблица №10'!E208</f>
        <v>2</v>
      </c>
      <c r="E207" s="88">
        <f>'Таблица №10'!F208</f>
        <v>600</v>
      </c>
      <c r="F207" s="73">
        <f>'Таблица №10'!G208</f>
        <v>5799.8</v>
      </c>
      <c r="G207" s="73">
        <f>'Таблица №10'!H208</f>
        <v>5799.8</v>
      </c>
      <c r="H207" s="73">
        <f>'Таблица №10'!I208</f>
        <v>6137.400000000001</v>
      </c>
      <c r="I207" s="73">
        <f>'Таблица №10'!J208</f>
        <v>6137.400000000001</v>
      </c>
      <c r="J207" s="73">
        <f>'Таблица №10'!K208</f>
        <v>870.2</v>
      </c>
    </row>
    <row r="208" spans="1:10" ht="21.75" customHeight="1" outlineLevel="5">
      <c r="A208" s="52" t="str">
        <f>'Таблица №10'!A209</f>
        <v>За счет средств областного бюджета на образовательный процесс</v>
      </c>
      <c r="B208" s="88" t="str">
        <f>'Таблица №10'!C209</f>
        <v>0702</v>
      </c>
      <c r="C208" s="88" t="str">
        <f>'Таблица №10'!D209</f>
        <v>53</v>
      </c>
      <c r="D208" s="88">
        <f>'Таблица №10'!E209</f>
        <v>2</v>
      </c>
      <c r="E208" s="88">
        <f>'Таблица №10'!F209</f>
        <v>600</v>
      </c>
      <c r="F208" s="73">
        <f>'Таблица №10'!G209</f>
        <v>1549.8</v>
      </c>
      <c r="G208" s="73">
        <f>'Таблица №10'!H209</f>
        <v>123718.1</v>
      </c>
      <c r="H208" s="73">
        <f>'Таблица №10'!I209</f>
        <v>-15712.200000000003</v>
      </c>
      <c r="I208" s="73">
        <f>'Таблица №10'!J209</f>
        <v>106456.1</v>
      </c>
      <c r="J208" s="73">
        <f>'Таблица №10'!K209</f>
        <v>113367.1</v>
      </c>
    </row>
    <row r="209" spans="1:10" ht="48" hidden="1" outlineLevel="5">
      <c r="A209" s="52" t="str">
        <f>'Таблица №10'!A210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209" s="88" t="str">
        <f>'Таблица №10'!C210</f>
        <v>0702</v>
      </c>
      <c r="C209" s="88" t="str">
        <f>'Таблица №10'!D210</f>
        <v>53</v>
      </c>
      <c r="D209" s="88">
        <f>'Таблица №10'!E210</f>
        <v>2</v>
      </c>
      <c r="E209" s="88">
        <f>'Таблица №10'!F210</f>
        <v>600</v>
      </c>
      <c r="F209" s="73">
        <f>'Таблица №10'!G210</f>
        <v>0</v>
      </c>
      <c r="G209" s="73">
        <f>'Таблица №10'!H210</f>
        <v>0</v>
      </c>
      <c r="H209" s="73">
        <f>'Таблица №10'!I210</f>
        <v>0</v>
      </c>
      <c r="I209" s="73">
        <f>'Таблица №10'!J210</f>
        <v>0</v>
      </c>
      <c r="J209" s="73">
        <f>'Таблица №10'!K210</f>
        <v>0</v>
      </c>
    </row>
    <row r="210" spans="1:10" ht="36" outlineLevel="5">
      <c r="A210" s="52" t="str">
        <f>'Таблица №10'!A211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10" s="88" t="str">
        <f>'Таблица №10'!C211</f>
        <v>0702</v>
      </c>
      <c r="C210" s="88" t="str">
        <f>'Таблица №10'!D211</f>
        <v>53</v>
      </c>
      <c r="D210" s="88">
        <f>'Таблица №10'!E211</f>
        <v>2</v>
      </c>
      <c r="E210" s="88">
        <f>'Таблица №10'!F211</f>
        <v>600</v>
      </c>
      <c r="F210" s="73">
        <f>'Таблица №10'!G211</f>
        <v>10546.199999999999</v>
      </c>
      <c r="G210" s="73">
        <f>'Таблица №10'!H211</f>
        <v>10546.199999999999</v>
      </c>
      <c r="H210" s="73">
        <f>'Таблица №10'!I211</f>
        <v>10546.199999999999</v>
      </c>
      <c r="I210" s="73">
        <f>'Таблица №10'!J211</f>
        <v>10546.199999999999</v>
      </c>
      <c r="J210" s="73">
        <f>'Таблица №10'!K211</f>
        <v>0</v>
      </c>
    </row>
    <row r="211" spans="1:10" ht="12.75" outlineLevel="5">
      <c r="A211" s="52" t="str">
        <f>'Таблица №10'!A212</f>
        <v>За счет средств областного бюджета на питание</v>
      </c>
      <c r="B211" s="88" t="str">
        <f>'Таблица №10'!C212</f>
        <v>0702</v>
      </c>
      <c r="C211" s="88" t="str">
        <f>'Таблица №10'!D212</f>
        <v>53</v>
      </c>
      <c r="D211" s="88">
        <f>'Таблица №10'!E212</f>
        <v>2</v>
      </c>
      <c r="E211" s="88">
        <f>'Таблица №10'!F212</f>
        <v>600</v>
      </c>
      <c r="F211" s="73">
        <f>'Таблица №10'!G212</f>
        <v>-200.10000000000002</v>
      </c>
      <c r="G211" s="73">
        <f>'Таблица №10'!H212</f>
        <v>4300.7</v>
      </c>
      <c r="H211" s="73">
        <f>'Таблица №10'!I212</f>
        <v>1654</v>
      </c>
      <c r="I211" s="73">
        <f>'Таблица №10'!J212</f>
        <v>4552.299999999999</v>
      </c>
      <c r="J211" s="73">
        <f>'Таблица №10'!K212</f>
        <v>4552.3</v>
      </c>
    </row>
    <row r="212" spans="1:10" ht="24.75" customHeight="1" outlineLevel="5">
      <c r="A212" s="52" t="str">
        <f>'Таблица №10'!A213</f>
        <v>За счет средств субсидии на дооснощение действующих объектов физической культуры и спорта оборудованием для лиц с ограниченными возможностями здоровья</v>
      </c>
      <c r="B212" s="88" t="str">
        <f>'Таблица №10'!C213</f>
        <v>0702</v>
      </c>
      <c r="C212" s="88" t="str">
        <f>'Таблица №10'!D213</f>
        <v>53</v>
      </c>
      <c r="D212" s="88">
        <f>'Таблица №10'!E213</f>
        <v>2</v>
      </c>
      <c r="E212" s="88">
        <f>'Таблица №10'!F213</f>
        <v>600</v>
      </c>
      <c r="F212" s="73">
        <f>'Таблица №10'!G213</f>
        <v>200</v>
      </c>
      <c r="G212" s="73">
        <f>'Таблица №10'!H213</f>
        <v>200</v>
      </c>
      <c r="H212" s="73">
        <f>'Таблица №10'!I213</f>
        <v>0</v>
      </c>
      <c r="I212" s="73">
        <f>'Таблица №10'!J213</f>
        <v>0</v>
      </c>
      <c r="J212" s="73">
        <f>'Таблица №10'!K213</f>
        <v>0</v>
      </c>
    </row>
    <row r="213" spans="1:10" ht="24" outlineLevel="5">
      <c r="A213" s="52" t="str">
        <f>'Таблица №10'!A214</f>
        <v>За счет средств на расходы на осуществление социальных гарантий молодым специалистам</v>
      </c>
      <c r="B213" s="88" t="str">
        <f>'Таблица №10'!C214</f>
        <v>0702</v>
      </c>
      <c r="C213" s="88" t="str">
        <f>'Таблица №10'!D214</f>
        <v>53</v>
      </c>
      <c r="D213" s="88">
        <f>'Таблица №10'!E214</f>
        <v>2</v>
      </c>
      <c r="E213" s="88">
        <f>'Таблица №10'!F214</f>
        <v>600</v>
      </c>
      <c r="F213" s="73">
        <f>'Таблица №10'!G214</f>
        <v>280.09999999999997</v>
      </c>
      <c r="G213" s="73">
        <f>'Таблица №10'!H214</f>
        <v>280.09999999999997</v>
      </c>
      <c r="H213" s="73">
        <f>'Таблица №10'!I214</f>
        <v>244.79999999999998</v>
      </c>
      <c r="I213" s="73">
        <f>'Таблица №10'!J214</f>
        <v>244.79999999999998</v>
      </c>
      <c r="J213" s="73">
        <f>'Таблица №10'!K214</f>
        <v>255.6</v>
      </c>
    </row>
    <row r="214" spans="1:10" ht="14.25" customHeight="1" outlineLevel="5">
      <c r="A214" s="52" t="str">
        <f>'Таблица №10'!A215</f>
        <v>Дополнительное образование детей</v>
      </c>
      <c r="B214" s="88" t="str">
        <f>'Таблица №10'!C215</f>
        <v>0703</v>
      </c>
      <c r="C214" s="88"/>
      <c r="D214" s="88"/>
      <c r="E214" s="88"/>
      <c r="F214" s="73">
        <f>'Таблица №10'!G215</f>
        <v>1500</v>
      </c>
      <c r="G214" s="73">
        <f>'Таблица №10'!H215</f>
        <v>9900</v>
      </c>
      <c r="H214" s="73">
        <f>'Таблица №10'!I215</f>
        <v>1500</v>
      </c>
      <c r="I214" s="73">
        <f>'Таблица №10'!J215</f>
        <v>9900</v>
      </c>
      <c r="J214" s="73">
        <f>'Таблица №10'!K215</f>
        <v>9900</v>
      </c>
    </row>
    <row r="215" spans="1:10" ht="2.25" customHeight="1" hidden="1" outlineLevel="5">
      <c r="A215" s="52" t="str">
        <f>'Таблица №10'!A216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15" s="88" t="str">
        <f>'Таблица №10'!C216</f>
        <v>0703</v>
      </c>
      <c r="C215" s="88" t="str">
        <f>'Таблица №10'!D216</f>
        <v>02</v>
      </c>
      <c r="D215" s="88">
        <f>'Таблица №10'!E216</f>
        <v>0</v>
      </c>
      <c r="E215" s="88"/>
      <c r="F215" s="73">
        <f>'Таблица №10'!G216</f>
        <v>0</v>
      </c>
      <c r="G215" s="73">
        <f>'Таблица №10'!H216</f>
        <v>0</v>
      </c>
      <c r="H215" s="73">
        <f>'Таблица №10'!I216</f>
        <v>0</v>
      </c>
      <c r="I215" s="73">
        <f>'Таблица №10'!J216</f>
        <v>0</v>
      </c>
      <c r="J215" s="73">
        <f>'Таблица №10'!K216</f>
        <v>0</v>
      </c>
    </row>
    <row r="216" spans="1:10" ht="42" customHeight="1" hidden="1" outlineLevel="5">
      <c r="A216" s="52" t="str">
        <f>'Таблица №10'!A217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216" s="88" t="str">
        <f>'Таблица №10'!C217</f>
        <v>0703</v>
      </c>
      <c r="C216" s="88" t="str">
        <f>'Таблица №10'!D217</f>
        <v>02</v>
      </c>
      <c r="D216" s="88">
        <f>'Таблица №10'!E217</f>
        <v>3</v>
      </c>
      <c r="E216" s="88"/>
      <c r="F216" s="73">
        <f>'Таблица №10'!G217</f>
        <v>0</v>
      </c>
      <c r="G216" s="73">
        <f>'Таблица №10'!H217</f>
        <v>0</v>
      </c>
      <c r="H216" s="73">
        <f>'Таблица №10'!I217</f>
        <v>0</v>
      </c>
      <c r="I216" s="73">
        <f>'Таблица №10'!J217</f>
        <v>0</v>
      </c>
      <c r="J216" s="73">
        <f>'Таблица №10'!K217</f>
        <v>0</v>
      </c>
    </row>
    <row r="217" spans="1:10" ht="24" hidden="1" outlineLevel="5">
      <c r="A217" s="52" t="str">
        <f>'Таблица №10'!A218</f>
        <v>Предоставление субсидий бюджетным, автономным учреждениям и иным некоммерческим организациям</v>
      </c>
      <c r="B217" s="88" t="str">
        <f>'Таблица №10'!C218</f>
        <v>0703</v>
      </c>
      <c r="C217" s="88" t="str">
        <f>'Таблица №10'!D218</f>
        <v>02</v>
      </c>
      <c r="D217" s="88">
        <f>'Таблица №10'!E218</f>
        <v>3</v>
      </c>
      <c r="E217" s="88">
        <f>'Таблица №10'!F218</f>
        <v>600</v>
      </c>
      <c r="F217" s="73">
        <f>'Таблица №10'!G218</f>
        <v>0</v>
      </c>
      <c r="G217" s="73">
        <f>'Таблица №10'!H218</f>
        <v>0</v>
      </c>
      <c r="H217" s="73">
        <f>'Таблица №10'!I218</f>
        <v>0</v>
      </c>
      <c r="I217" s="73">
        <f>'Таблица №10'!J218</f>
        <v>0</v>
      </c>
      <c r="J217" s="73">
        <f>'Таблица №10'!K218</f>
        <v>0</v>
      </c>
    </row>
    <row r="218" spans="1:10" ht="37.5" customHeight="1" outlineLevel="5">
      <c r="A218" s="52" t="str">
        <f>'Таблица №10'!A219</f>
        <v>Ведомственная целевая программа "Развитие образования детей на территории  Алексеевского муниципального района на 2020-2022 годы"</v>
      </c>
      <c r="B218" s="88" t="str">
        <f>'Таблица №10'!C219</f>
        <v>0703</v>
      </c>
      <c r="C218" s="88" t="str">
        <f>'Таблица №10'!D219</f>
        <v>53</v>
      </c>
      <c r="D218" s="88">
        <f>'Таблица №10'!E219</f>
        <v>0</v>
      </c>
      <c r="E218" s="88"/>
      <c r="F218" s="73">
        <f>'Таблица №10'!G219</f>
        <v>1500</v>
      </c>
      <c r="G218" s="73">
        <f>'Таблица №10'!H219</f>
        <v>9900</v>
      </c>
      <c r="H218" s="73">
        <f>'Таблица №10'!I219</f>
        <v>1500</v>
      </c>
      <c r="I218" s="73">
        <f>'Таблица №10'!J219</f>
        <v>9900</v>
      </c>
      <c r="J218" s="73">
        <f>'Таблица №10'!K219</f>
        <v>9900</v>
      </c>
    </row>
    <row r="219" spans="1:10" ht="15" customHeight="1" outlineLevel="5">
      <c r="A219" s="52" t="str">
        <f>'Таблица №10'!A220</f>
        <v>Подпрограмма "Развитие дополнительного образования детей"</v>
      </c>
      <c r="B219" s="88" t="str">
        <f>'Таблица №10'!C220</f>
        <v>0703</v>
      </c>
      <c r="C219" s="88" t="str">
        <f>'Таблица №10'!D220</f>
        <v>53</v>
      </c>
      <c r="D219" s="88">
        <f>'Таблица №10'!E220</f>
        <v>3</v>
      </c>
      <c r="E219" s="88" t="s">
        <v>9</v>
      </c>
      <c r="F219" s="73">
        <f>'Таблица №10'!G220</f>
        <v>1500</v>
      </c>
      <c r="G219" s="73">
        <f>'Таблица №10'!H220</f>
        <v>9900</v>
      </c>
      <c r="H219" s="73">
        <f>'Таблица №10'!I220</f>
        <v>1500</v>
      </c>
      <c r="I219" s="73">
        <f>'Таблица №10'!J220</f>
        <v>9900</v>
      </c>
      <c r="J219" s="73">
        <f>'Таблица №10'!K220</f>
        <v>9900</v>
      </c>
    </row>
    <row r="220" spans="1:10" ht="24" outlineLevel="5">
      <c r="A220" s="52" t="str">
        <f>'Таблица №10'!A221</f>
        <v>Предоставление субсидий бюджетным, автономным учреждениям и иным некоммерческим организациям  (ДШИ)</v>
      </c>
      <c r="B220" s="88" t="str">
        <f>'Таблица №10'!C221</f>
        <v>0703</v>
      </c>
      <c r="C220" s="88" t="str">
        <f>'Таблица №10'!D221</f>
        <v>53</v>
      </c>
      <c r="D220" s="88">
        <f>'Таблица №10'!E221</f>
        <v>3</v>
      </c>
      <c r="E220" s="88">
        <f>'Таблица №10'!F221</f>
        <v>600</v>
      </c>
      <c r="F220" s="73">
        <f>'Таблица №10'!G221</f>
        <v>1500</v>
      </c>
      <c r="G220" s="73">
        <f>'Таблица №10'!H221</f>
        <v>5800</v>
      </c>
      <c r="H220" s="73">
        <f>'Таблица №10'!I221</f>
        <v>1500</v>
      </c>
      <c r="I220" s="73">
        <f>'Таблица №10'!J221</f>
        <v>5800</v>
      </c>
      <c r="J220" s="73">
        <f>'Таблица №10'!K221</f>
        <v>5800</v>
      </c>
    </row>
    <row r="221" spans="1:10" ht="39.75" customHeight="1" outlineLevel="5">
      <c r="A221" s="52" t="str">
        <f>'Таблица №10'!A222</f>
        <v>Предоставление субсидий бюджетным, автономным учреждениям и иным некоммерческим организациям  (ДЮСШ)</v>
      </c>
      <c r="B221" s="88" t="str">
        <f>'Таблица №10'!C222</f>
        <v>0703</v>
      </c>
      <c r="C221" s="88" t="str">
        <f>'Таблица №10'!D222</f>
        <v>53</v>
      </c>
      <c r="D221" s="88">
        <f>'Таблица №10'!E222</f>
        <v>3</v>
      </c>
      <c r="E221" s="88">
        <f>'Таблица №10'!F222</f>
        <v>600</v>
      </c>
      <c r="F221" s="73">
        <f>'Таблица №10'!G222</f>
        <v>0</v>
      </c>
      <c r="G221" s="73">
        <f>'Таблица №10'!H222</f>
        <v>4100</v>
      </c>
      <c r="H221" s="73">
        <f>'Таблица №10'!I222</f>
        <v>0</v>
      </c>
      <c r="I221" s="73">
        <f>'Таблица №10'!J222</f>
        <v>4100</v>
      </c>
      <c r="J221" s="73">
        <f>'Таблица №10'!K222</f>
        <v>4100</v>
      </c>
    </row>
    <row r="222" spans="1:10" ht="12.75" outlineLevel="5">
      <c r="A222" s="52" t="str">
        <f>'Таблица №10'!A223</f>
        <v>Молодежная политика и оздоровление детей</v>
      </c>
      <c r="B222" s="88" t="str">
        <f>'Таблица №10'!C223</f>
        <v>0707</v>
      </c>
      <c r="C222" s="88">
        <f>'Таблица №10'!D223</f>
      </c>
      <c r="D222" s="88">
        <f>'Таблица №10'!E223</f>
      </c>
      <c r="E222" s="88"/>
      <c r="F222" s="73">
        <f>'Таблица №10'!G223</f>
        <v>1401.6</v>
      </c>
      <c r="G222" s="73">
        <f>'Таблица №10'!H223</f>
        <v>6284.9</v>
      </c>
      <c r="H222" s="73">
        <f>'Таблица №10'!I223</f>
        <v>1213.5</v>
      </c>
      <c r="I222" s="73">
        <f>'Таблица №10'!J223</f>
        <v>6096.8</v>
      </c>
      <c r="J222" s="73">
        <f>'Таблица №10'!K223</f>
        <v>6055.9</v>
      </c>
    </row>
    <row r="223" spans="1:10" ht="25.5" customHeight="1" outlineLevel="5">
      <c r="A223" s="52" t="str">
        <f>'Таблица №10'!A224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v>
      </c>
      <c r="B223" s="88" t="str">
        <f>'Таблица №10'!C224</f>
        <v>0707</v>
      </c>
      <c r="C223" s="88" t="str">
        <f>'Таблица №10'!D224</f>
        <v>07</v>
      </c>
      <c r="D223" s="88">
        <f>'Таблица №10'!E224</f>
        <v>0</v>
      </c>
      <c r="E223" s="88"/>
      <c r="F223" s="73">
        <f>'Таблица №10'!G224</f>
        <v>-100</v>
      </c>
      <c r="G223" s="73">
        <f>'Таблица №10'!H224</f>
        <v>100</v>
      </c>
      <c r="H223" s="73">
        <f>'Таблица №10'!I224</f>
        <v>-100</v>
      </c>
      <c r="I223" s="73">
        <f>'Таблица №10'!J224</f>
        <v>100</v>
      </c>
      <c r="J223" s="73">
        <f>'Таблица №10'!K224</f>
        <v>0</v>
      </c>
    </row>
    <row r="224" spans="1:10" ht="24" outlineLevel="5">
      <c r="A224" s="52" t="str">
        <f>'Таблица №10'!A225</f>
        <v>Подпрограмма "Комплексные меры по противодействию наркомании"</v>
      </c>
      <c r="B224" s="88" t="str">
        <f>'Таблица №10'!C225</f>
        <v>0707</v>
      </c>
      <c r="C224" s="88" t="str">
        <f>'Таблица №10'!D225</f>
        <v>07</v>
      </c>
      <c r="D224" s="88">
        <f>'Таблица №10'!E225</f>
        <v>1</v>
      </c>
      <c r="E224" s="88"/>
      <c r="F224" s="73">
        <f>'Таблица №10'!G225</f>
        <v>-20</v>
      </c>
      <c r="G224" s="73">
        <f>'Таблица №10'!H225</f>
        <v>30</v>
      </c>
      <c r="H224" s="73">
        <f>'Таблица №10'!I225</f>
        <v>-20</v>
      </c>
      <c r="I224" s="73">
        <f>'Таблица №10'!J225</f>
        <v>30</v>
      </c>
      <c r="J224" s="73">
        <f>'Таблица №10'!K225</f>
        <v>0</v>
      </c>
    </row>
    <row r="225" spans="1:10" ht="27" customHeight="1" outlineLevel="5">
      <c r="A225" s="52" t="str">
        <f>'Таблица №10'!A226</f>
        <v>Закупка товаров, работ и услуг для государственных (муниципальных) нужд</v>
      </c>
      <c r="B225" s="88" t="str">
        <f>'Таблица №10'!C226</f>
        <v>0707</v>
      </c>
      <c r="C225" s="88" t="str">
        <f>'Таблица №10'!D226</f>
        <v>07</v>
      </c>
      <c r="D225" s="88">
        <f>'Таблица №10'!E226</f>
        <v>1</v>
      </c>
      <c r="E225" s="88">
        <f>'Таблица №10'!F226</f>
        <v>200</v>
      </c>
      <c r="F225" s="73">
        <f>'Таблица №10'!G226</f>
        <v>-20</v>
      </c>
      <c r="G225" s="73">
        <f>'Таблица №10'!H226</f>
        <v>30</v>
      </c>
      <c r="H225" s="73">
        <f>'Таблица №10'!I226</f>
        <v>-20</v>
      </c>
      <c r="I225" s="73">
        <f>'Таблица №10'!J226</f>
        <v>30</v>
      </c>
      <c r="J225" s="73">
        <f>'Таблица №10'!K226</f>
        <v>0</v>
      </c>
    </row>
    <row r="226" spans="1:10" ht="24" outlineLevel="5">
      <c r="A226" s="52" t="str">
        <f>'Таблица №10'!A227</f>
        <v>Подпрограмма "Реализация мероприятий молодежной политики и социальной адаптации молодежи "</v>
      </c>
      <c r="B226" s="88" t="str">
        <f>'Таблица №10'!C227</f>
        <v>0707</v>
      </c>
      <c r="C226" s="88" t="str">
        <f>'Таблица №10'!D227</f>
        <v>07</v>
      </c>
      <c r="D226" s="88">
        <f>'Таблица №10'!E227</f>
        <v>2</v>
      </c>
      <c r="E226" s="88"/>
      <c r="F226" s="73">
        <f>'Таблица №10'!G227</f>
        <v>-60</v>
      </c>
      <c r="G226" s="73">
        <f>'Таблица №10'!H227</f>
        <v>40</v>
      </c>
      <c r="H226" s="73">
        <f>'Таблица №10'!I227</f>
        <v>-60</v>
      </c>
      <c r="I226" s="73">
        <f>'Таблица №10'!J227</f>
        <v>40</v>
      </c>
      <c r="J226" s="73">
        <f>'Таблица №10'!K227</f>
        <v>0</v>
      </c>
    </row>
    <row r="227" spans="1:10" ht="24" customHeight="1" outlineLevel="5">
      <c r="A227" s="52" t="str">
        <f>'Таблица №10'!A228</f>
        <v>Закупка товаров, работ и услуг для государственных (муниципальных) нужд</v>
      </c>
      <c r="B227" s="88" t="str">
        <f>'Таблица №10'!C228</f>
        <v>0707</v>
      </c>
      <c r="C227" s="88" t="str">
        <f>'Таблица №10'!D228</f>
        <v>07</v>
      </c>
      <c r="D227" s="88">
        <f>'Таблица №10'!E228</f>
        <v>2</v>
      </c>
      <c r="E227" s="88">
        <f>'Таблица №10'!F228</f>
        <v>200</v>
      </c>
      <c r="F227" s="73">
        <f>'Таблица №10'!G228</f>
        <v>-60</v>
      </c>
      <c r="G227" s="73">
        <f>'Таблица №10'!H228</f>
        <v>40</v>
      </c>
      <c r="H227" s="73">
        <f>'Таблица №10'!I228</f>
        <v>-60</v>
      </c>
      <c r="I227" s="73">
        <f>'Таблица №10'!J228</f>
        <v>40</v>
      </c>
      <c r="J227" s="73">
        <f>'Таблица №10'!K228</f>
        <v>0</v>
      </c>
    </row>
    <row r="228" spans="1:10" ht="24" outlineLevel="5">
      <c r="A228" s="52" t="str">
        <f>'Таблица №10'!A229</f>
        <v>Подпрограмма " Профилактика безнадзорности, правонарушений и неблагополучия несовершеннолетних"</v>
      </c>
      <c r="B228" s="88" t="str">
        <f>'Таблица №10'!C229</f>
        <v>0707</v>
      </c>
      <c r="C228" s="88" t="str">
        <f>'Таблица №10'!D229</f>
        <v>07</v>
      </c>
      <c r="D228" s="88">
        <f>'Таблица №10'!E229</f>
        <v>3</v>
      </c>
      <c r="E228" s="88"/>
      <c r="F228" s="73">
        <f>'Таблица №10'!G229</f>
        <v>-20</v>
      </c>
      <c r="G228" s="73">
        <f>'Таблица №10'!H229</f>
        <v>30</v>
      </c>
      <c r="H228" s="73">
        <f>'Таблица №10'!I229</f>
        <v>-20</v>
      </c>
      <c r="I228" s="73">
        <f>'Таблица №10'!J229</f>
        <v>30</v>
      </c>
      <c r="J228" s="73">
        <f>'Таблица №10'!K229</f>
        <v>0</v>
      </c>
    </row>
    <row r="229" spans="1:10" ht="23.25" customHeight="1" outlineLevel="5">
      <c r="A229" s="52" t="str">
        <f>'Таблица №10'!A230</f>
        <v>Закупка товаров, работ и услуг для государственных (муниципальных) нужд</v>
      </c>
      <c r="B229" s="88" t="str">
        <f>'Таблица №10'!C230</f>
        <v>0707</v>
      </c>
      <c r="C229" s="88" t="str">
        <f>'Таблица №10'!D230</f>
        <v>07</v>
      </c>
      <c r="D229" s="88">
        <f>'Таблица №10'!E230</f>
        <v>3</v>
      </c>
      <c r="E229" s="88">
        <f>'Таблица №10'!F230</f>
        <v>200</v>
      </c>
      <c r="F229" s="73">
        <f>'Таблица №10'!G230</f>
        <v>-20</v>
      </c>
      <c r="G229" s="73">
        <f>'Таблица №10'!H230</f>
        <v>30</v>
      </c>
      <c r="H229" s="73">
        <f>'Таблица №10'!I230</f>
        <v>-20</v>
      </c>
      <c r="I229" s="73">
        <f>'Таблица №10'!J230</f>
        <v>30</v>
      </c>
      <c r="J229" s="73">
        <f>'Таблица №10'!K230</f>
        <v>0</v>
      </c>
    </row>
    <row r="230" spans="1:10" ht="24" hidden="1" outlineLevel="5">
      <c r="A230" s="52" t="str">
        <f>'Таблица №10'!A231</f>
        <v>Закупка товаров, работ и услуг для государственных (муниципальных) нужд</v>
      </c>
      <c r="B230" s="88" t="str">
        <f>'Таблица №10'!C231</f>
        <v>0707</v>
      </c>
      <c r="C230" s="88" t="str">
        <f>'Таблица №10'!D231</f>
        <v>07</v>
      </c>
      <c r="D230" s="88">
        <f>'Таблица №10'!E231</f>
        <v>3</v>
      </c>
      <c r="E230" s="88">
        <f>'Таблица №10'!F231</f>
        <v>200</v>
      </c>
      <c r="F230" s="73">
        <f>'Таблица №10'!G231</f>
        <v>0</v>
      </c>
      <c r="G230" s="73">
        <f>'Таблица №10'!H231</f>
        <v>0</v>
      </c>
      <c r="H230" s="73">
        <f>'Таблица №10'!I231</f>
        <v>0</v>
      </c>
      <c r="I230" s="73">
        <f>'Таблица №10'!J231</f>
        <v>0</v>
      </c>
      <c r="J230" s="73">
        <f>'Таблица №10'!K231</f>
        <v>0</v>
      </c>
    </row>
    <row r="231" spans="1:10" ht="31.5" customHeight="1" hidden="1" outlineLevel="5">
      <c r="A231" s="52" t="str">
        <f>'Таблица №10'!A232</f>
        <v>Закупка товаров, работ и услуг для государственных (муниципальных) нужд</v>
      </c>
      <c r="B231" s="88" t="str">
        <f>'Таблица №10'!C232</f>
        <v>0707</v>
      </c>
      <c r="C231" s="88" t="str">
        <f>'Таблица №10'!D232</f>
        <v>07</v>
      </c>
      <c r="D231" s="88">
        <f>'Таблица №10'!E232</f>
        <v>3</v>
      </c>
      <c r="E231" s="88">
        <f>'Таблица №10'!F232</f>
        <v>200</v>
      </c>
      <c r="F231" s="73">
        <f>'Таблица №10'!G232</f>
        <v>0</v>
      </c>
      <c r="G231" s="73">
        <f>'Таблица №10'!H232</f>
        <v>0</v>
      </c>
      <c r="H231" s="73">
        <f>'Таблица №10'!I232</f>
        <v>0</v>
      </c>
      <c r="I231" s="73">
        <f>'Таблица №10'!J232</f>
        <v>0</v>
      </c>
      <c r="J231" s="73">
        <f>'Таблица №10'!K232</f>
        <v>0</v>
      </c>
    </row>
    <row r="232" spans="1:10" ht="38.25" customHeight="1" outlineLevel="5">
      <c r="A232" s="52" t="str">
        <f>'Таблица №10'!A233</f>
        <v>Ведомственная целевая программа "Молодежная политика на территории Алексеевского муниципального района на 2019-2021 годы" (СДЦ)</v>
      </c>
      <c r="B232" s="88" t="str">
        <f>'Таблица №10'!C233</f>
        <v>0707</v>
      </c>
      <c r="C232" s="88" t="str">
        <f>'Таблица №10'!D233</f>
        <v>56</v>
      </c>
      <c r="D232" s="88">
        <f>'Таблица №10'!E233</f>
        <v>0</v>
      </c>
      <c r="E232" s="88"/>
      <c r="F232" s="73">
        <f>'Таблица №10'!G233</f>
        <v>1400</v>
      </c>
      <c r="G232" s="73">
        <f>'Таблица №10'!H233</f>
        <v>4500</v>
      </c>
      <c r="H232" s="73">
        <f>'Таблица №10'!I233</f>
        <v>1400</v>
      </c>
      <c r="I232" s="73">
        <f>'Таблица №10'!J233</f>
        <v>4500</v>
      </c>
      <c r="J232" s="73">
        <f>'Таблица №10'!K233</f>
        <v>4500</v>
      </c>
    </row>
    <row r="233" spans="1:10" ht="29.25" customHeight="1" outlineLevel="5">
      <c r="A233" s="52" t="str">
        <f>'Таблица №10'!A234</f>
        <v>Предоставление субсидий бюджетным, автономным учреждениям и иным некоммерческим организациям</v>
      </c>
      <c r="B233" s="88" t="str">
        <f>'Таблица №10'!C234</f>
        <v>0707</v>
      </c>
      <c r="C233" s="88" t="str">
        <f>'Таблица №10'!D234</f>
        <v>56</v>
      </c>
      <c r="D233" s="88">
        <f>'Таблица №10'!E234</f>
        <v>0</v>
      </c>
      <c r="E233" s="88">
        <f>'Таблица №10'!F234</f>
        <v>600</v>
      </c>
      <c r="F233" s="73">
        <f>'Таблица №10'!G234</f>
        <v>1400</v>
      </c>
      <c r="G233" s="73">
        <f>'Таблица №10'!H234</f>
        <v>4500</v>
      </c>
      <c r="H233" s="73">
        <f>'Таблица №10'!I234</f>
        <v>1400</v>
      </c>
      <c r="I233" s="73">
        <f>'Таблица №10'!J234</f>
        <v>4500</v>
      </c>
      <c r="J233" s="73">
        <f>'Таблица №10'!K234</f>
        <v>4500</v>
      </c>
    </row>
    <row r="234" spans="1:10" ht="18.75" customHeight="1" outlineLevel="5">
      <c r="A234" s="52" t="str">
        <f>'Таблица №10'!A235</f>
        <v>Организация отдыха детей в лагерях дневного пребывания</v>
      </c>
      <c r="B234" s="88" t="str">
        <f>'Таблица №10'!C235</f>
        <v>0707</v>
      </c>
      <c r="C234" s="88" t="str">
        <f>'Таблица №10'!D235</f>
        <v>99</v>
      </c>
      <c r="D234" s="88"/>
      <c r="E234" s="88"/>
      <c r="F234" s="73">
        <f>'Таблица №10'!G235</f>
        <v>101.6</v>
      </c>
      <c r="G234" s="73">
        <f>'Таблица №10'!H235</f>
        <v>1684.8999999999999</v>
      </c>
      <c r="H234" s="73">
        <f>'Таблица №10'!I235</f>
        <v>-86.50000000000001</v>
      </c>
      <c r="I234" s="73">
        <f>'Таблица №10'!J235</f>
        <v>1496.8000000000002</v>
      </c>
      <c r="J234" s="73">
        <f>'Таблица №10'!K235</f>
        <v>1555.8999999999999</v>
      </c>
    </row>
    <row r="235" spans="1:10" ht="31.5" customHeight="1" outlineLevel="5">
      <c r="A235" s="52" t="str">
        <f>'Таблица №10'!A236</f>
        <v>Непрограммные расходы органов местного самоуправления Алексеевского муниципального района</v>
      </c>
      <c r="B235" s="88" t="str">
        <f>'Таблица №10'!C236</f>
        <v>0707</v>
      </c>
      <c r="C235" s="88" t="str">
        <f>'Таблица №10'!D236</f>
        <v>99</v>
      </c>
      <c r="D235" s="88"/>
      <c r="E235" s="88"/>
      <c r="F235" s="73">
        <f>'Таблица №10'!G236</f>
        <v>101.6</v>
      </c>
      <c r="G235" s="73">
        <f>'Таблица №10'!H236</f>
        <v>1684.8999999999999</v>
      </c>
      <c r="H235" s="73">
        <f>'Таблица №10'!I236</f>
        <v>-86.50000000000001</v>
      </c>
      <c r="I235" s="73">
        <f>'Таблица №10'!J236</f>
        <v>1496.8000000000002</v>
      </c>
      <c r="J235" s="73">
        <f>'Таблица №10'!K236</f>
        <v>1555.8999999999999</v>
      </c>
    </row>
    <row r="236" spans="1:10" ht="36" outlineLevel="5">
      <c r="A236" s="52" t="str">
        <f>'Таблица №10'!A237</f>
        <v>Субсидия на организацию отдыха детей в каникулярный период в лагерях дневного пребывания на базе муниципальных образовательных организаций</v>
      </c>
      <c r="B236" s="88" t="str">
        <f>'Таблица №10'!C237</f>
        <v>0707</v>
      </c>
      <c r="C236" s="88" t="str">
        <f>'Таблица №10'!D237</f>
        <v>99</v>
      </c>
      <c r="D236" s="88">
        <f>'Таблица №10'!E237</f>
        <v>0</v>
      </c>
      <c r="E236" s="88">
        <f>'Таблица №10'!F237</f>
        <v>600</v>
      </c>
      <c r="F236" s="73">
        <f>'Таблица №10'!G237</f>
        <v>8.5</v>
      </c>
      <c r="G236" s="73">
        <f>'Таблица №10'!H237</f>
        <v>1516.3999999999999</v>
      </c>
      <c r="H236" s="73">
        <f>'Таблица №10'!I237</f>
        <v>-160.8</v>
      </c>
      <c r="I236" s="73">
        <f>'Таблица №10'!J237</f>
        <v>1347.1000000000001</v>
      </c>
      <c r="J236" s="73">
        <f>'Таблица №10'!K237</f>
        <v>1400.3</v>
      </c>
    </row>
    <row r="237" spans="1:10" ht="30" customHeight="1" outlineLevel="5">
      <c r="A237" s="52" t="str">
        <f>'Таблица №10'!A238</f>
        <v>Предоставление субсидий бюджетным, автономным учреждениям и иным некоммерческим организациям</v>
      </c>
      <c r="B237" s="88" t="str">
        <f>'Таблица №10'!C238</f>
        <v>0707</v>
      </c>
      <c r="C237" s="88" t="str">
        <f>'Таблица №10'!D238</f>
        <v>99</v>
      </c>
      <c r="D237" s="88">
        <f>'Таблица №10'!E238</f>
        <v>0</v>
      </c>
      <c r="E237" s="88">
        <f>'Таблица №10'!F238</f>
        <v>600</v>
      </c>
      <c r="F237" s="73">
        <f>'Таблица №10'!G238</f>
        <v>93.1</v>
      </c>
      <c r="G237" s="73">
        <f>'Таблица №10'!H238</f>
        <v>168.5</v>
      </c>
      <c r="H237" s="73">
        <f>'Таблица №10'!I238</f>
        <v>74.3</v>
      </c>
      <c r="I237" s="73">
        <f>'Таблица №10'!J238</f>
        <v>149.7</v>
      </c>
      <c r="J237" s="73">
        <f>'Таблица №10'!K238</f>
        <v>155.6</v>
      </c>
    </row>
    <row r="238" spans="1:10" ht="15.75" customHeight="1" outlineLevel="5">
      <c r="A238" s="52" t="str">
        <f>'Таблица №10'!A239</f>
        <v>Другие вопросы в области образования</v>
      </c>
      <c r="B238" s="88" t="str">
        <f>'Таблица №10'!C239</f>
        <v>0709</v>
      </c>
      <c r="C238" s="88"/>
      <c r="D238" s="88"/>
      <c r="E238" s="88"/>
      <c r="F238" s="73">
        <f>'Таблица №10'!G239</f>
        <v>0</v>
      </c>
      <c r="G238" s="73">
        <f>'Таблица №10'!H239</f>
        <v>1315</v>
      </c>
      <c r="H238" s="73">
        <f>'Таблица №10'!I239</f>
        <v>0</v>
      </c>
      <c r="I238" s="73">
        <f>'Таблица №10'!J239</f>
        <v>1315</v>
      </c>
      <c r="J238" s="73">
        <f>'Таблица №10'!K239</f>
        <v>1315</v>
      </c>
    </row>
    <row r="239" spans="1:10" ht="66" customHeight="1" outlineLevel="5">
      <c r="A239" s="52" t="str">
        <f>'Таблица №10'!A240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239" s="88" t="str">
        <f>'Таблица №10'!C240</f>
        <v>0709</v>
      </c>
      <c r="C239" s="88" t="str">
        <f>'Таблица №10'!D240</f>
        <v>08</v>
      </c>
      <c r="D239" s="88">
        <f>'Таблица №10'!E240</f>
        <v>0</v>
      </c>
      <c r="E239" s="88"/>
      <c r="F239" s="73">
        <f>'Таблица №10'!G240</f>
        <v>0</v>
      </c>
      <c r="G239" s="73">
        <f>'Таблица №10'!H240</f>
        <v>20</v>
      </c>
      <c r="H239" s="73">
        <f>'Таблица №10'!I240</f>
        <v>0</v>
      </c>
      <c r="I239" s="73">
        <f>'Таблица №10'!J240</f>
        <v>20</v>
      </c>
      <c r="J239" s="73">
        <f>'Таблица №10'!K240</f>
        <v>20</v>
      </c>
    </row>
    <row r="240" spans="1:10" ht="12.75" outlineLevel="2">
      <c r="A240" s="52" t="str">
        <f>'Таблица №10'!A241</f>
        <v>Социальное обеспечение и иные выплаты населению</v>
      </c>
      <c r="B240" s="88" t="str">
        <f>'Таблица №10'!C241</f>
        <v>0709</v>
      </c>
      <c r="C240" s="88" t="str">
        <f>'Таблица №10'!D241</f>
        <v>08</v>
      </c>
      <c r="D240" s="88">
        <f>'Таблица №10'!E241</f>
        <v>0</v>
      </c>
      <c r="E240" s="88" t="s">
        <v>212</v>
      </c>
      <c r="F240" s="73">
        <f>'Таблица №10'!G241</f>
        <v>0</v>
      </c>
      <c r="G240" s="73">
        <f>'Таблица №10'!H241</f>
        <v>20</v>
      </c>
      <c r="H240" s="73">
        <f>'Таблица №10'!I241</f>
        <v>0</v>
      </c>
      <c r="I240" s="73">
        <f>'Таблица №10'!J241</f>
        <v>20</v>
      </c>
      <c r="J240" s="73">
        <f>'Таблица №10'!K241</f>
        <v>20</v>
      </c>
    </row>
    <row r="241" spans="1:10" ht="48" outlineLevel="3">
      <c r="A241" s="52" t="str">
        <f>'Таблица №10'!A242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2019-2021 годы" </v>
      </c>
      <c r="B241" s="88" t="str">
        <f>'Таблица №10'!C242</f>
        <v>0709</v>
      </c>
      <c r="C241" s="88" t="str">
        <f>'Таблица №10'!D242</f>
        <v>58</v>
      </c>
      <c r="D241" s="88">
        <f>'Таблица №10'!E242</f>
        <v>0</v>
      </c>
      <c r="E241" s="88"/>
      <c r="F241" s="73">
        <f>'Таблица №10'!G242</f>
        <v>0</v>
      </c>
      <c r="G241" s="73">
        <f>'Таблица №10'!H242</f>
        <v>1295</v>
      </c>
      <c r="H241" s="73">
        <f>'Таблица №10'!I242</f>
        <v>0</v>
      </c>
      <c r="I241" s="73">
        <f>'Таблица №10'!J242</f>
        <v>1295</v>
      </c>
      <c r="J241" s="73">
        <f>'Таблица №10'!K242</f>
        <v>1295</v>
      </c>
    </row>
    <row r="242" spans="1:10" ht="48" outlineLevel="3">
      <c r="A242" s="52" t="str">
        <f>'Таблица №10'!A243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42" s="88" t="str">
        <f>'Таблица №10'!C243</f>
        <v>0709</v>
      </c>
      <c r="C242" s="88" t="str">
        <f>'Таблица №10'!D243</f>
        <v>58</v>
      </c>
      <c r="D242" s="88">
        <f>'Таблица №10'!E243</f>
        <v>0</v>
      </c>
      <c r="E242" s="88">
        <f>'Таблица №10'!F243</f>
        <v>100</v>
      </c>
      <c r="F242" s="73">
        <f>'Таблица №10'!G243</f>
        <v>0.2</v>
      </c>
      <c r="G242" s="73">
        <f>'Таблица №10'!H243</f>
        <v>1240.2</v>
      </c>
      <c r="H242" s="73">
        <f>'Таблица №10'!I243</f>
        <v>0.2</v>
      </c>
      <c r="I242" s="73">
        <f>'Таблица №10'!J243</f>
        <v>1240.2</v>
      </c>
      <c r="J242" s="73">
        <f>'Таблица №10'!K243</f>
        <v>1240.2</v>
      </c>
    </row>
    <row r="243" spans="1:10" ht="12" customHeight="1" outlineLevel="3">
      <c r="A243" s="52" t="str">
        <f>'Таблица №10'!A244</f>
        <v>Закупка товаров, работ и услуг для государственных (муниципальных) нужд</v>
      </c>
      <c r="B243" s="88" t="str">
        <f>'Таблица №10'!C244</f>
        <v>0709</v>
      </c>
      <c r="C243" s="88" t="str">
        <f>'Таблица №10'!D244</f>
        <v>58</v>
      </c>
      <c r="D243" s="88">
        <f>'Таблица №10'!E244</f>
        <v>0</v>
      </c>
      <c r="E243" s="88">
        <f>'Таблица №10'!F244</f>
        <v>200</v>
      </c>
      <c r="F243" s="73">
        <f>'Таблица №10'!G244</f>
        <v>0</v>
      </c>
      <c r="G243" s="73">
        <f>'Таблица №10'!H244</f>
        <v>54.8</v>
      </c>
      <c r="H243" s="73">
        <f>'Таблица №10'!I244</f>
        <v>0</v>
      </c>
      <c r="I243" s="73">
        <f>'Таблица №10'!J244</f>
        <v>54.8</v>
      </c>
      <c r="J243" s="73">
        <f>'Таблица №10'!K244</f>
        <v>54.8</v>
      </c>
    </row>
    <row r="244" spans="1:10" ht="12.75" hidden="1" outlineLevel="3">
      <c r="A244" s="52" t="str">
        <f>'Таблица №10'!A245</f>
        <v>Иные бюджетные ассигнования</v>
      </c>
      <c r="B244" s="88" t="str">
        <f>'Таблица №10'!C245</f>
        <v>0709</v>
      </c>
      <c r="C244" s="88" t="str">
        <f>'Таблица №10'!D245</f>
        <v>58</v>
      </c>
      <c r="D244" s="88">
        <f>'Таблица №10'!E245</f>
        <v>0</v>
      </c>
      <c r="E244" s="88">
        <f>'Таблица №10'!F245</f>
        <v>800</v>
      </c>
      <c r="F244" s="73">
        <f>'Таблица №10'!G245</f>
        <v>-0.2</v>
      </c>
      <c r="G244" s="73">
        <f>'Таблица №10'!H245</f>
        <v>0</v>
      </c>
      <c r="H244" s="73">
        <f>'Таблица №10'!I245</f>
        <v>-0.2</v>
      </c>
      <c r="I244" s="73">
        <f>'Таблица №10'!J245</f>
        <v>0</v>
      </c>
      <c r="J244" s="73">
        <f>'Таблица №10'!K245</f>
        <v>0</v>
      </c>
    </row>
    <row r="245" spans="1:10" ht="12.75" outlineLevel="3">
      <c r="A245" s="52" t="str">
        <f>'Таблица №10'!A246</f>
        <v>Культура, кинематография </v>
      </c>
      <c r="B245" s="88" t="str">
        <f>'Таблица №10'!C246</f>
        <v>0800</v>
      </c>
      <c r="C245" s="88"/>
      <c r="D245" s="88"/>
      <c r="E245" s="88"/>
      <c r="F245" s="73">
        <f>'Таблица №10'!G246</f>
        <v>2950</v>
      </c>
      <c r="G245" s="73">
        <f>'Таблица №10'!H246</f>
        <v>13400</v>
      </c>
      <c r="H245" s="73">
        <f>'Таблица №10'!I246</f>
        <v>2950</v>
      </c>
      <c r="I245" s="73">
        <f>'Таблица №10'!J246</f>
        <v>13400</v>
      </c>
      <c r="J245" s="73">
        <f>'Таблица №10'!K246</f>
        <v>13400</v>
      </c>
    </row>
    <row r="246" spans="1:10" ht="12" customHeight="1" outlineLevel="3">
      <c r="A246" s="52" t="str">
        <f>'Таблица №10'!A247</f>
        <v>Культура</v>
      </c>
      <c r="B246" s="88" t="str">
        <f>'Таблица №10'!C247</f>
        <v>0801</v>
      </c>
      <c r="C246" s="88"/>
      <c r="D246" s="88"/>
      <c r="E246" s="88"/>
      <c r="F246" s="73">
        <f>'Таблица №10'!G247</f>
        <v>2396</v>
      </c>
      <c r="G246" s="73">
        <f>'Таблица №10'!H247</f>
        <v>11691</v>
      </c>
      <c r="H246" s="73">
        <f>'Таблица №10'!I247</f>
        <v>2396</v>
      </c>
      <c r="I246" s="73">
        <f>'Таблица №10'!J247</f>
        <v>11691</v>
      </c>
      <c r="J246" s="73">
        <f>'Таблица №10'!K247</f>
        <v>11691</v>
      </c>
    </row>
    <row r="247" spans="1:10" ht="0.75" customHeight="1" hidden="1" outlineLevel="3">
      <c r="A247" s="52" t="str">
        <f>'Таблица №10'!A248</f>
        <v>Муниципальная программа "Комплексное развитие сельских территорий"</v>
      </c>
      <c r="B247" s="88" t="str">
        <f>'Таблица №10'!C248</f>
        <v>0801</v>
      </c>
      <c r="C247" s="88" t="str">
        <f>'Таблица №10'!D248</f>
        <v>03</v>
      </c>
      <c r="D247" s="88">
        <f>'Таблица №10'!E248</f>
        <v>0</v>
      </c>
      <c r="E247" s="88"/>
      <c r="F247" s="73">
        <f>'Таблица №10'!G248</f>
        <v>0</v>
      </c>
      <c r="G247" s="73">
        <f>'Таблица №10'!H248</f>
        <v>0</v>
      </c>
      <c r="H247" s="73">
        <f>'Таблица №10'!I248</f>
        <v>0</v>
      </c>
      <c r="I247" s="73">
        <f>'Таблица №10'!J248</f>
        <v>0</v>
      </c>
      <c r="J247" s="73">
        <f>'Таблица №10'!K248</f>
        <v>0</v>
      </c>
    </row>
    <row r="248" spans="1:10" ht="35.25" customHeight="1" hidden="1" outlineLevel="3">
      <c r="A248" s="52" t="str">
        <f>'Таблица №10'!A249</f>
        <v>Закупка товаров, работ и услуг для государственных (муниципальных) нужд за счет субсидий на реализацию проектов комплексного развития сельских территорий</v>
      </c>
      <c r="B248" s="88" t="str">
        <f>'Таблица №10'!C249</f>
        <v>0801</v>
      </c>
      <c r="C248" s="88" t="str">
        <f>'Таблица №10'!D249</f>
        <v>03</v>
      </c>
      <c r="D248" s="88">
        <f>'Таблица №10'!E249</f>
        <v>0</v>
      </c>
      <c r="E248" s="88">
        <f>'Таблица №10'!F249</f>
        <v>244</v>
      </c>
      <c r="F248" s="73">
        <f>'Таблица №10'!G249</f>
        <v>0</v>
      </c>
      <c r="G248" s="73">
        <f>'Таблица №10'!H249</f>
        <v>0</v>
      </c>
      <c r="H248" s="73">
        <f>'Таблица №10'!I249</f>
        <v>0</v>
      </c>
      <c r="I248" s="73">
        <f>'Таблица №10'!J249</f>
        <v>0</v>
      </c>
      <c r="J248" s="73">
        <f>'Таблица №10'!K249</f>
        <v>0</v>
      </c>
    </row>
    <row r="249" spans="1:10" ht="24" hidden="1" outlineLevel="3">
      <c r="A249" s="52" t="str">
        <f>'Таблица №10'!A250</f>
        <v>Закупка товаров, работ и услуг для государственных (муниципальных) нужд (софинансирование)</v>
      </c>
      <c r="B249" s="88" t="str">
        <f>'Таблица №10'!C250</f>
        <v>0801</v>
      </c>
      <c r="C249" s="88" t="str">
        <f>'Таблица №10'!D250</f>
        <v>03</v>
      </c>
      <c r="D249" s="88">
        <f>'Таблица №10'!E250</f>
        <v>0</v>
      </c>
      <c r="E249" s="88">
        <f>'Таблица №10'!F250</f>
        <v>244</v>
      </c>
      <c r="F249" s="73">
        <f>'Таблица №10'!G250</f>
        <v>0</v>
      </c>
      <c r="G249" s="73">
        <f>'Таблица №10'!H250</f>
        <v>0</v>
      </c>
      <c r="H249" s="73">
        <f>'Таблица №10'!I250</f>
        <v>0</v>
      </c>
      <c r="I249" s="73">
        <f>'Таблица №10'!J250</f>
        <v>0</v>
      </c>
      <c r="J249" s="73">
        <f>'Таблица №10'!K250</f>
        <v>0</v>
      </c>
    </row>
    <row r="250" spans="1:10" ht="38.25" customHeight="1" outlineLevel="3">
      <c r="A250" s="52" t="str">
        <f>'Таблица №10'!A251</f>
        <v>Муниципальная программа "Развитие народных художественных промыслов Алексеевского муниципального района на 2019-2023 годы"</v>
      </c>
      <c r="B250" s="88" t="str">
        <f>'Таблица №10'!C251</f>
        <v>0801</v>
      </c>
      <c r="C250" s="88" t="str">
        <f>'Таблица №10'!D251</f>
        <v>12</v>
      </c>
      <c r="D250" s="88">
        <f>'Таблица №10'!E251</f>
        <v>0</v>
      </c>
      <c r="E250" s="88"/>
      <c r="F250" s="73">
        <f>'Таблица №10'!G251</f>
        <v>0</v>
      </c>
      <c r="G250" s="73">
        <f>'Таблица №10'!H251</f>
        <v>50</v>
      </c>
      <c r="H250" s="73">
        <f>'Таблица №10'!I251</f>
        <v>0</v>
      </c>
      <c r="I250" s="73">
        <f>'Таблица №10'!J251</f>
        <v>50</v>
      </c>
      <c r="J250" s="73">
        <f>'Таблица №10'!K251</f>
        <v>50</v>
      </c>
    </row>
    <row r="251" spans="1:10" ht="26.25" customHeight="1" outlineLevel="3">
      <c r="A251" s="52" t="str">
        <f>'Таблица №10'!A252</f>
        <v>Предоставление субсидий бюджетным, автономным учреждениям и иным некоммерческим организациям</v>
      </c>
      <c r="B251" s="88" t="str">
        <f>'Таблица №10'!C252</f>
        <v>0801</v>
      </c>
      <c r="C251" s="88" t="str">
        <f>'Таблица №10'!D252</f>
        <v>12</v>
      </c>
      <c r="D251" s="88">
        <f>'Таблица №10'!E252</f>
        <v>0</v>
      </c>
      <c r="E251" s="88">
        <f>'Таблица №10'!F252</f>
        <v>600</v>
      </c>
      <c r="F251" s="73">
        <f>'Таблица №10'!G252</f>
        <v>0</v>
      </c>
      <c r="G251" s="73">
        <f>'Таблица №10'!H252</f>
        <v>50</v>
      </c>
      <c r="H251" s="73">
        <f>'Таблица №10'!I252</f>
        <v>0</v>
      </c>
      <c r="I251" s="73">
        <f>'Таблица №10'!J252</f>
        <v>50</v>
      </c>
      <c r="J251" s="73">
        <f>'Таблица №10'!K252</f>
        <v>50</v>
      </c>
    </row>
    <row r="252" spans="1:10" ht="36" outlineLevel="3">
      <c r="A252" s="52" t="str">
        <f>'Таблица №10'!A253</f>
        <v>Муниципальная программа "О поддержке деятельности казачьих обществ Алексеевского муниципального района на 2019-2023 годы"</v>
      </c>
      <c r="B252" s="88" t="str">
        <f>'Таблица №10'!C253</f>
        <v>0801</v>
      </c>
      <c r="C252" s="88" t="str">
        <f>'Таблица №10'!D253</f>
        <v>13</v>
      </c>
      <c r="D252" s="88">
        <f>'Таблица №10'!E253</f>
        <v>0</v>
      </c>
      <c r="E252" s="88"/>
      <c r="F252" s="73">
        <f>'Таблица №10'!G253</f>
        <v>-50</v>
      </c>
      <c r="G252" s="73">
        <f>'Таблица №10'!H253</f>
        <v>50</v>
      </c>
      <c r="H252" s="73">
        <f>'Таблица №10'!I253</f>
        <v>-50</v>
      </c>
      <c r="I252" s="73">
        <f>'Таблица №10'!J253</f>
        <v>50</v>
      </c>
      <c r="J252" s="73">
        <f>'Таблица №10'!K253</f>
        <v>50</v>
      </c>
    </row>
    <row r="253" spans="1:10" ht="24" customHeight="1" outlineLevel="3">
      <c r="A253" s="52" t="str">
        <f>'Таблица №10'!A254</f>
        <v>Предоставление субсидий бюджетным, автономным учреждениям и иным некоммерческим организациям</v>
      </c>
      <c r="B253" s="88" t="str">
        <f>'Таблица №10'!C254</f>
        <v>0801</v>
      </c>
      <c r="C253" s="88" t="str">
        <f>'Таблица №10'!D254</f>
        <v>13</v>
      </c>
      <c r="D253" s="88">
        <f>'Таблица №10'!E254</f>
        <v>0</v>
      </c>
      <c r="E253" s="88">
        <f>'Таблица №10'!F254</f>
        <v>600</v>
      </c>
      <c r="F253" s="73">
        <f>'Таблица №10'!G254</f>
        <v>-50</v>
      </c>
      <c r="G253" s="73">
        <f>'Таблица №10'!H254</f>
        <v>50</v>
      </c>
      <c r="H253" s="73">
        <f>'Таблица №10'!I254</f>
        <v>-50</v>
      </c>
      <c r="I253" s="73">
        <f>'Таблица №10'!J254</f>
        <v>50</v>
      </c>
      <c r="J253" s="73">
        <f>'Таблица №10'!K254</f>
        <v>50</v>
      </c>
    </row>
    <row r="254" spans="1:10" ht="33.75" customHeight="1" hidden="1" outlineLevel="3">
      <c r="A254" s="52" t="str">
        <f>'Таблица №10'!A255</f>
        <v>Непрограммные расходы органов местного самоуправления Алексеевского муниципального района</v>
      </c>
      <c r="B254" s="88" t="str">
        <f>'Таблица №10'!C255</f>
        <v>0801</v>
      </c>
      <c r="C254" s="88" t="str">
        <f>'Таблица №10'!D255</f>
        <v>99</v>
      </c>
      <c r="D254" s="88">
        <f>'Таблица №10'!E255</f>
        <v>0</v>
      </c>
      <c r="E254" s="88"/>
      <c r="F254" s="73">
        <f>'Таблица №10'!G255</f>
        <v>0</v>
      </c>
      <c r="G254" s="73">
        <f>'Таблица №10'!H255</f>
        <v>0</v>
      </c>
      <c r="H254" s="73">
        <f>'Таблица №10'!I255</f>
        <v>0</v>
      </c>
      <c r="I254" s="73">
        <f>'Таблица №10'!J255</f>
        <v>0</v>
      </c>
      <c r="J254" s="73">
        <f>'Таблица №10'!K255</f>
        <v>0</v>
      </c>
    </row>
    <row r="255" spans="1:10" ht="15" customHeight="1" hidden="1" outlineLevel="3">
      <c r="A255" s="52" t="str">
        <f>'Таблица №10'!A256</f>
        <v>Закупка товаров, работ и услуг для государственных (муниципальных) нужд</v>
      </c>
      <c r="B255" s="88" t="str">
        <f>'Таблица №10'!C256</f>
        <v>0801</v>
      </c>
      <c r="C255" s="88" t="str">
        <f>'Таблица №10'!D256</f>
        <v>99</v>
      </c>
      <c r="D255" s="88">
        <f>'Таблица №10'!E256</f>
        <v>0</v>
      </c>
      <c r="E255" s="88">
        <f>'Таблица №10'!F256</f>
        <v>200</v>
      </c>
      <c r="F255" s="73">
        <f>'Таблица №10'!G256</f>
        <v>0</v>
      </c>
      <c r="G255" s="73">
        <f>'Таблица №10'!H256</f>
        <v>0</v>
      </c>
      <c r="H255" s="73">
        <f>'Таблица №10'!I256</f>
        <v>0</v>
      </c>
      <c r="I255" s="73">
        <f>'Таблица №10'!J256</f>
        <v>0</v>
      </c>
      <c r="J255" s="73">
        <f>'Таблица №10'!K256</f>
        <v>0</v>
      </c>
    </row>
    <row r="256" spans="1:10" ht="37.5" customHeight="1" outlineLevel="1">
      <c r="A256" s="52" t="str">
        <f>'Таблица №10'!A257</f>
        <v>Ведомственная целевая программа "Развитие культуры и искусства в Алексеевском муниципальном районе на 2019-2021 годы"</v>
      </c>
      <c r="B256" s="88" t="str">
        <f>'Таблица №10'!C257</f>
        <v>0800</v>
      </c>
      <c r="C256" s="88" t="str">
        <f>'Таблица №10'!D257</f>
        <v>59</v>
      </c>
      <c r="D256" s="88">
        <f>'Таблица №10'!E257</f>
        <v>0</v>
      </c>
      <c r="E256" s="88"/>
      <c r="F256" s="73">
        <f>'Таблица №10'!G257</f>
        <v>3000</v>
      </c>
      <c r="G256" s="73">
        <f>'Таблица №10'!H257</f>
        <v>13300</v>
      </c>
      <c r="H256" s="73">
        <f>'Таблица №10'!I257</f>
        <v>3000</v>
      </c>
      <c r="I256" s="73">
        <f>'Таблица №10'!J257</f>
        <v>13300</v>
      </c>
      <c r="J256" s="73">
        <f>'Таблица №10'!K257</f>
        <v>13300</v>
      </c>
    </row>
    <row r="257" spans="1:10" ht="16.5" customHeight="1" outlineLevel="3">
      <c r="A257" s="52" t="str">
        <f>'Таблица №10'!A258</f>
        <v>Дворцы и дома культуры, другие учреждения культуры</v>
      </c>
      <c r="B257" s="88" t="str">
        <f>'Таблица №10'!C258</f>
        <v>0801</v>
      </c>
      <c r="C257" s="88" t="str">
        <f>'Таблица №10'!D258</f>
        <v>59</v>
      </c>
      <c r="D257" s="88">
        <f>'Таблица №10'!E258</f>
        <v>0</v>
      </c>
      <c r="E257" s="88"/>
      <c r="F257" s="73">
        <f>'Таблица №10'!G258</f>
        <v>1427</v>
      </c>
      <c r="G257" s="73">
        <f>'Таблица №10'!H258</f>
        <v>8641</v>
      </c>
      <c r="H257" s="73">
        <f>'Таблица №10'!I258</f>
        <v>1427</v>
      </c>
      <c r="I257" s="73">
        <f>'Таблица №10'!J258</f>
        <v>8641</v>
      </c>
      <c r="J257" s="73">
        <f>'Таблица №10'!K258</f>
        <v>8641</v>
      </c>
    </row>
    <row r="258" spans="1:10" ht="24" customHeight="1" outlineLevel="3">
      <c r="A258" s="52" t="str">
        <f>'Таблица №10'!A259</f>
        <v>Предоставление субсидий бюджетным, автономным учреждениям и иным некоммерческим организациям</v>
      </c>
      <c r="B258" s="88" t="str">
        <f>'Таблица №10'!C259</f>
        <v>0801</v>
      </c>
      <c r="C258" s="88" t="str">
        <f>'Таблица №10'!D259</f>
        <v>59</v>
      </c>
      <c r="D258" s="88">
        <f>'Таблица №10'!E259</f>
        <v>0</v>
      </c>
      <c r="E258" s="88">
        <f>'Таблица №10'!F259</f>
        <v>600</v>
      </c>
      <c r="F258" s="73">
        <f>'Таблица №10'!G259</f>
        <v>1427</v>
      </c>
      <c r="G258" s="73">
        <f>'Таблица №10'!H259</f>
        <v>8641</v>
      </c>
      <c r="H258" s="73">
        <f>'Таблица №10'!I259</f>
        <v>1427</v>
      </c>
      <c r="I258" s="73">
        <f>'Таблица №10'!J259</f>
        <v>8641</v>
      </c>
      <c r="J258" s="73">
        <f>'Таблица №10'!K259</f>
        <v>8641</v>
      </c>
    </row>
    <row r="259" spans="1:10" ht="14.25" customHeight="1" outlineLevel="3">
      <c r="A259" s="52" t="str">
        <f>'Таблица №10'!A260</f>
        <v>Музей</v>
      </c>
      <c r="B259" s="88" t="str">
        <f>'Таблица №10'!C260</f>
        <v>0801</v>
      </c>
      <c r="C259" s="88" t="str">
        <f>'Таблица №10'!D260</f>
        <v>59</v>
      </c>
      <c r="D259" s="88">
        <f>'Таблица №10'!E260</f>
        <v>0</v>
      </c>
      <c r="E259" s="88"/>
      <c r="F259" s="73">
        <f>'Таблица №10'!G260</f>
        <v>731</v>
      </c>
      <c r="G259" s="73">
        <f>'Таблица №10'!H260</f>
        <v>1593</v>
      </c>
      <c r="H259" s="73">
        <f>'Таблица №10'!I260</f>
        <v>731</v>
      </c>
      <c r="I259" s="73">
        <f>'Таблица №10'!J260</f>
        <v>1593</v>
      </c>
      <c r="J259" s="73">
        <f>'Таблица №10'!K260</f>
        <v>1593</v>
      </c>
    </row>
    <row r="260" spans="1:10" ht="31.5" customHeight="1" outlineLevel="3">
      <c r="A260" s="52" t="str">
        <f>'Таблица №10'!A261</f>
        <v>Предоставление субсидий бюджетным, автономным учреждениям и иным некоммерческим организациям</v>
      </c>
      <c r="B260" s="88" t="str">
        <f>'Таблица №10'!C261</f>
        <v>0801</v>
      </c>
      <c r="C260" s="88" t="str">
        <f>'Таблица №10'!D261</f>
        <v>59</v>
      </c>
      <c r="D260" s="88">
        <f>'Таблица №10'!E261</f>
        <v>0</v>
      </c>
      <c r="E260" s="88">
        <f>'Таблица №10'!F261</f>
        <v>600</v>
      </c>
      <c r="F260" s="73">
        <f>'Таблица №10'!G261</f>
        <v>731</v>
      </c>
      <c r="G260" s="73">
        <f>'Таблица №10'!H261</f>
        <v>1593</v>
      </c>
      <c r="H260" s="73">
        <f>'Таблица №10'!I261</f>
        <v>731</v>
      </c>
      <c r="I260" s="73">
        <f>'Таблица №10'!J261</f>
        <v>1593</v>
      </c>
      <c r="J260" s="73">
        <f>'Таблица №10'!K261</f>
        <v>1593</v>
      </c>
    </row>
    <row r="261" spans="1:10" ht="16.5" customHeight="1" outlineLevel="3">
      <c r="A261" s="52" t="str">
        <f>'Таблица №10'!A262</f>
        <v>Библиотеки</v>
      </c>
      <c r="B261" s="88" t="str">
        <f>'Таблица №10'!C262</f>
        <v>0801</v>
      </c>
      <c r="C261" s="88" t="str">
        <f>'Таблица №10'!D262</f>
        <v>59</v>
      </c>
      <c r="D261" s="88">
        <f>'Таблица №10'!E262</f>
        <v>0</v>
      </c>
      <c r="E261" s="88"/>
      <c r="F261" s="73">
        <f>'Таблица №10'!G262</f>
        <v>288</v>
      </c>
      <c r="G261" s="73">
        <f>'Таблица №10'!H262</f>
        <v>1357</v>
      </c>
      <c r="H261" s="73">
        <f>'Таблица №10'!I262</f>
        <v>288</v>
      </c>
      <c r="I261" s="73">
        <f>'Таблица №10'!J262</f>
        <v>1357</v>
      </c>
      <c r="J261" s="73">
        <f>'Таблица №10'!K262</f>
        <v>1357</v>
      </c>
    </row>
    <row r="262" spans="1:10" ht="27" customHeight="1" outlineLevel="1">
      <c r="A262" s="52" t="str">
        <f>'Таблица №10'!A263</f>
        <v>Предоставление субсидий бюджетным, автономным учреждениям и иным некоммерческим организациям</v>
      </c>
      <c r="B262" s="88" t="str">
        <f>'Таблица №10'!C263</f>
        <v>0801</v>
      </c>
      <c r="C262" s="88" t="str">
        <f>'Таблица №10'!D263</f>
        <v>59</v>
      </c>
      <c r="D262" s="88">
        <f>'Таблица №10'!E263</f>
        <v>0</v>
      </c>
      <c r="E262" s="88">
        <f>'Таблица №10'!F263</f>
        <v>600</v>
      </c>
      <c r="F262" s="73">
        <f>'Таблица №10'!G263</f>
        <v>288</v>
      </c>
      <c r="G262" s="73">
        <f>'Таблица №10'!H263</f>
        <v>1357</v>
      </c>
      <c r="H262" s="73">
        <f>'Таблица №10'!I263</f>
        <v>288</v>
      </c>
      <c r="I262" s="73">
        <f>'Таблица №10'!J263</f>
        <v>1357</v>
      </c>
      <c r="J262" s="73">
        <f>'Таблица №10'!K263</f>
        <v>1357</v>
      </c>
    </row>
    <row r="263" spans="1:10" ht="12" customHeight="1" outlineLevel="3">
      <c r="A263" s="52" t="str">
        <f>'Таблица №10'!A264</f>
        <v>Кинематография</v>
      </c>
      <c r="B263" s="88" t="str">
        <f>'Таблица №10'!C264</f>
        <v>0802</v>
      </c>
      <c r="C263" s="88" t="str">
        <f>'Таблица №10'!D264</f>
        <v>59</v>
      </c>
      <c r="D263" s="88">
        <f>'Таблица №10'!E264</f>
        <v>0</v>
      </c>
      <c r="E263" s="88"/>
      <c r="F263" s="73">
        <f>'Таблица №10'!G264</f>
        <v>-42</v>
      </c>
      <c r="G263" s="73">
        <f>'Таблица №10'!H264</f>
        <v>267</v>
      </c>
      <c r="H263" s="73">
        <f>'Таблица №10'!I264</f>
        <v>-42</v>
      </c>
      <c r="I263" s="73">
        <f>'Таблица №10'!J264</f>
        <v>267</v>
      </c>
      <c r="J263" s="73">
        <f>'Таблица №10'!K264</f>
        <v>267</v>
      </c>
    </row>
    <row r="264" spans="1:10" ht="26.25" customHeight="1" outlineLevel="3">
      <c r="A264" s="52" t="str">
        <f>'Таблица №10'!A265</f>
        <v>Предоставление субсидий бюджетным, автономным учреждениям и иным некоммерческим организациям</v>
      </c>
      <c r="B264" s="88" t="str">
        <f>'Таблица №10'!C265</f>
        <v>0802</v>
      </c>
      <c r="C264" s="88" t="str">
        <f>'Таблица №10'!D265</f>
        <v>59</v>
      </c>
      <c r="D264" s="88">
        <f>'Таблица №10'!E265</f>
        <v>0</v>
      </c>
      <c r="E264" s="88">
        <f>'Таблица №10'!F265</f>
        <v>600</v>
      </c>
      <c r="F264" s="73">
        <f>'Таблица №10'!G265</f>
        <v>-42</v>
      </c>
      <c r="G264" s="73">
        <f>'Таблица №10'!H265</f>
        <v>267</v>
      </c>
      <c r="H264" s="73">
        <f>'Таблица №10'!I265</f>
        <v>-42</v>
      </c>
      <c r="I264" s="73">
        <f>'Таблица №10'!J265</f>
        <v>267</v>
      </c>
      <c r="J264" s="73">
        <f>'Таблица №10'!K265</f>
        <v>267</v>
      </c>
    </row>
    <row r="265" spans="1:10" ht="12.75" outlineLevel="3">
      <c r="A265" s="52" t="str">
        <f>'Таблица №10'!A266</f>
        <v>Другие вопросы в области культуры, кинематографии </v>
      </c>
      <c r="B265" s="88" t="str">
        <f>'Таблица №10'!C266</f>
        <v>0804</v>
      </c>
      <c r="C265" s="88" t="str">
        <f>'Таблица №10'!D266</f>
        <v>59</v>
      </c>
      <c r="D265" s="88">
        <f>'Таблица №10'!E266</f>
        <v>0</v>
      </c>
      <c r="E265" s="88"/>
      <c r="F265" s="73">
        <f>'Таблица №10'!G266</f>
        <v>596</v>
      </c>
      <c r="G265" s="73">
        <f>'Таблица №10'!H266</f>
        <v>1442</v>
      </c>
      <c r="H265" s="73">
        <f>'Таблица №10'!I266</f>
        <v>596</v>
      </c>
      <c r="I265" s="73">
        <f>'Таблица №10'!J266</f>
        <v>1442</v>
      </c>
      <c r="J265" s="73">
        <f>'Таблица №10'!K266</f>
        <v>1442</v>
      </c>
    </row>
    <row r="266" spans="1:10" ht="24" outlineLevel="3">
      <c r="A266" s="52" t="str">
        <f>'Таблица №10'!A267</f>
        <v>Предоставление субсидий бюджетным, автономным учреждениям и иным некоммерческим организациям</v>
      </c>
      <c r="B266" s="88" t="str">
        <f>'Таблица №10'!C267</f>
        <v>0804</v>
      </c>
      <c r="C266" s="88" t="str">
        <f>'Таблица №10'!D267</f>
        <v>59</v>
      </c>
      <c r="D266" s="88">
        <f>'Таблица №10'!E267</f>
        <v>0</v>
      </c>
      <c r="E266" s="88">
        <f>'Таблица №10'!F267</f>
        <v>600</v>
      </c>
      <c r="F266" s="73">
        <f>'Таблица №10'!G267</f>
        <v>596</v>
      </c>
      <c r="G266" s="73">
        <f>'Таблица №10'!H267</f>
        <v>1442</v>
      </c>
      <c r="H266" s="73">
        <f>'Таблица №10'!I267</f>
        <v>596</v>
      </c>
      <c r="I266" s="73">
        <f>'Таблица №10'!J267</f>
        <v>1442</v>
      </c>
      <c r="J266" s="73">
        <f>'Таблица №10'!K267</f>
        <v>1442</v>
      </c>
    </row>
    <row r="267" spans="1:10" ht="12" customHeight="1" outlineLevel="3">
      <c r="A267" s="52" t="str">
        <f>'Таблица №10'!A268</f>
        <v>Здравоохранение</v>
      </c>
      <c r="B267" s="88" t="str">
        <f>'Таблица №10'!C268</f>
        <v>0900</v>
      </c>
      <c r="C267" s="88"/>
      <c r="D267" s="88"/>
      <c r="E267" s="88"/>
      <c r="F267" s="73">
        <f>'Таблица №10'!G268</f>
        <v>0</v>
      </c>
      <c r="G267" s="73">
        <f>'Таблица №10'!H268</f>
        <v>0</v>
      </c>
      <c r="H267" s="73">
        <f>'Таблица №10'!I268</f>
        <v>0</v>
      </c>
      <c r="I267" s="73">
        <f>'Таблица №10'!J268</f>
        <v>0</v>
      </c>
      <c r="J267" s="73">
        <f>'Таблица №10'!K268</f>
        <v>0</v>
      </c>
    </row>
    <row r="268" spans="1:10" ht="12.75" hidden="1" outlineLevel="3">
      <c r="A268" s="52" t="str">
        <f>'Таблица №10'!A269</f>
        <v>Амбулаторная помощь</v>
      </c>
      <c r="B268" s="88" t="str">
        <f>'Таблица №10'!C269</f>
        <v>0902</v>
      </c>
      <c r="C268" s="88"/>
      <c r="D268" s="88"/>
      <c r="E268" s="88"/>
      <c r="F268" s="73">
        <f>'Таблица №10'!G269</f>
        <v>0</v>
      </c>
      <c r="G268" s="73">
        <f>'Таблица №10'!H269</f>
        <v>0</v>
      </c>
      <c r="H268" s="73">
        <f>'Таблица №10'!I269</f>
        <v>0</v>
      </c>
      <c r="I268" s="73">
        <f>'Таблица №10'!J269</f>
        <v>0</v>
      </c>
      <c r="J268" s="73">
        <f>'Таблица №10'!K269</f>
        <v>0</v>
      </c>
    </row>
    <row r="269" spans="1:10" ht="36" hidden="1" outlineLevel="3">
      <c r="A269" s="52" t="str">
        <f>'Таблица №10'!A270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69" s="88" t="str">
        <f>'Таблица №10'!C270</f>
        <v>0902</v>
      </c>
      <c r="C269" s="88" t="str">
        <f>'Таблица №10'!D270</f>
        <v>02</v>
      </c>
      <c r="D269" s="88">
        <f>'Таблица №10'!E270</f>
        <v>0</v>
      </c>
      <c r="E269" s="88"/>
      <c r="F269" s="73">
        <f>'Таблица №10'!G270</f>
        <v>0</v>
      </c>
      <c r="G269" s="73">
        <f>'Таблица №10'!H270</f>
        <v>0</v>
      </c>
      <c r="H269" s="73">
        <f>'Таблица №10'!I270</f>
        <v>0</v>
      </c>
      <c r="I269" s="73">
        <f>'Таблица №10'!J270</f>
        <v>0</v>
      </c>
      <c r="J269" s="73">
        <f>'Таблица №10'!K270</f>
        <v>0</v>
      </c>
    </row>
    <row r="270" spans="1:10" ht="16.5" customHeight="1" hidden="1">
      <c r="A270" s="52" t="str">
        <f>'Таблица №10'!A271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270" s="88" t="str">
        <f>'Таблица №10'!C271</f>
        <v>0902</v>
      </c>
      <c r="C270" s="88" t="str">
        <f>'Таблица №10'!D271</f>
        <v>02</v>
      </c>
      <c r="D270" s="88">
        <f>'Таблица №10'!E271</f>
        <v>3</v>
      </c>
      <c r="E270" s="88"/>
      <c r="F270" s="73">
        <f>'Таблица №10'!G271</f>
        <v>0</v>
      </c>
      <c r="G270" s="73">
        <f>'Таблица №10'!H271</f>
        <v>0</v>
      </c>
      <c r="H270" s="73">
        <f>'Таблица №10'!I271</f>
        <v>0</v>
      </c>
      <c r="I270" s="73">
        <f>'Таблица №10'!J271</f>
        <v>0</v>
      </c>
      <c r="J270" s="73">
        <f>'Таблица №10'!K271</f>
        <v>0</v>
      </c>
    </row>
    <row r="271" spans="1:10" s="16" customFormat="1" ht="27.75" customHeight="1" hidden="1" outlineLevel="2">
      <c r="A271" s="52" t="str">
        <f>'Таблица №10'!A272</f>
        <v>Капитальные вложения в объекты государственной (муниципальной) собственности</v>
      </c>
      <c r="B271" s="88" t="str">
        <f>'Таблица №10'!C272</f>
        <v>0902</v>
      </c>
      <c r="C271" s="88" t="str">
        <f>'Таблица №10'!D272</f>
        <v>02</v>
      </c>
      <c r="D271" s="88">
        <f>'Таблица №10'!E272</f>
        <v>3</v>
      </c>
      <c r="E271" s="88">
        <f>'Таблица №10'!F272</f>
        <v>400</v>
      </c>
      <c r="F271" s="73">
        <f>'Таблица №10'!G272</f>
        <v>0</v>
      </c>
      <c r="G271" s="73">
        <f>'Таблица №10'!H272</f>
        <v>0</v>
      </c>
      <c r="H271" s="73">
        <f>'Таблица №10'!I272</f>
        <v>0</v>
      </c>
      <c r="I271" s="73">
        <f>'Таблица №10'!J272</f>
        <v>0</v>
      </c>
      <c r="J271" s="73">
        <f>'Таблица №10'!K272</f>
        <v>0</v>
      </c>
    </row>
    <row r="272" spans="1:10" s="16" customFormat="1" ht="15" customHeight="1" outlineLevel="2">
      <c r="A272" s="52" t="str">
        <f>'Таблица №10'!A273</f>
        <v>Социальная политика</v>
      </c>
      <c r="B272" s="88" t="str">
        <f>'Таблица №10'!C273</f>
        <v>1000</v>
      </c>
      <c r="C272" s="88"/>
      <c r="D272" s="88"/>
      <c r="E272" s="88"/>
      <c r="F272" s="73">
        <f>'Таблица №10'!G273</f>
        <v>-2852.2000000000003</v>
      </c>
      <c r="G272" s="73">
        <f>'Таблица №10'!H273</f>
        <v>28140.6</v>
      </c>
      <c r="H272" s="73">
        <f>'Таблица №10'!I273</f>
        <v>-3899.5</v>
      </c>
      <c r="I272" s="73">
        <f>'Таблица №10'!J273</f>
        <v>27335.199999999997</v>
      </c>
      <c r="J272" s="73">
        <f>'Таблица №10'!K273</f>
        <v>27459.100000000002</v>
      </c>
    </row>
    <row r="273" spans="1:10" s="16" customFormat="1" ht="15.75" customHeight="1" outlineLevel="2">
      <c r="A273" s="52" t="str">
        <f>'Таблица №10'!A274</f>
        <v>Доплаты к пенсии государственных служащих субъектов Российской Федерации и муниципальных служащих</v>
      </c>
      <c r="B273" s="88" t="str">
        <f>'Таблица №10'!C274</f>
        <v>1001</v>
      </c>
      <c r="C273" s="88"/>
      <c r="D273" s="88"/>
      <c r="E273" s="88"/>
      <c r="F273" s="73">
        <f>'Таблица №10'!G274</f>
        <v>0</v>
      </c>
      <c r="G273" s="73">
        <f>'Таблица №10'!H274</f>
        <v>4000</v>
      </c>
      <c r="H273" s="73">
        <f>'Таблица №10'!I274</f>
        <v>0</v>
      </c>
      <c r="I273" s="73">
        <f>'Таблица №10'!J274</f>
        <v>4000</v>
      </c>
      <c r="J273" s="73">
        <f>'Таблица №10'!K274</f>
        <v>4000</v>
      </c>
    </row>
    <row r="274" spans="1:10" ht="15" customHeight="1" outlineLevel="3">
      <c r="A274" s="52" t="str">
        <f>'Таблица №10'!A275</f>
        <v>Непрограммные расходы органов местного самоуправления Алексеевского муниципального района</v>
      </c>
      <c r="B274" s="88" t="str">
        <f>'Таблица №10'!C275</f>
        <v>1001</v>
      </c>
      <c r="C274" s="88" t="str">
        <f>'Таблица №10'!D275</f>
        <v>99</v>
      </c>
      <c r="D274" s="88">
        <f>'Таблица №10'!E275</f>
        <v>0</v>
      </c>
      <c r="E274" s="88"/>
      <c r="F274" s="73">
        <f>'Таблица №10'!G275</f>
        <v>0</v>
      </c>
      <c r="G274" s="73">
        <f>'Таблица №10'!H275</f>
        <v>4000</v>
      </c>
      <c r="H274" s="73">
        <f>'Таблица №10'!I275</f>
        <v>0</v>
      </c>
      <c r="I274" s="73">
        <f>'Таблица №10'!J275</f>
        <v>4000</v>
      </c>
      <c r="J274" s="73">
        <f>'Таблица №10'!K275</f>
        <v>4000</v>
      </c>
    </row>
    <row r="275" spans="1:10" s="16" customFormat="1" ht="12.75" outlineLevel="2">
      <c r="A275" s="52" t="str">
        <f>'Таблица №10'!A276</f>
        <v>Социальное обеспечение и иные выплаты населению</v>
      </c>
      <c r="B275" s="88" t="str">
        <f>'Таблица №10'!C276</f>
        <v>1001</v>
      </c>
      <c r="C275" s="88" t="str">
        <f>'Таблица №10'!D276</f>
        <v>99</v>
      </c>
      <c r="D275" s="88">
        <f>'Таблица №10'!E276</f>
        <v>0</v>
      </c>
      <c r="E275" s="88">
        <f>'Таблица №10'!F276</f>
        <v>300</v>
      </c>
      <c r="F275" s="73">
        <f>'Таблица №10'!G276</f>
        <v>0</v>
      </c>
      <c r="G275" s="73">
        <f>'Таблица №10'!H276</f>
        <v>4000</v>
      </c>
      <c r="H275" s="73">
        <f>'Таблица №10'!I276</f>
        <v>0</v>
      </c>
      <c r="I275" s="73">
        <f>'Таблица №10'!J276</f>
        <v>4000</v>
      </c>
      <c r="J275" s="73">
        <f>'Таблица №10'!K276</f>
        <v>4000</v>
      </c>
    </row>
    <row r="276" spans="1:10" s="16" customFormat="1" ht="14.25" customHeight="1" outlineLevel="2">
      <c r="A276" s="52" t="str">
        <f>'Таблица №10'!A277</f>
        <v>Социальное обеспечение населения</v>
      </c>
      <c r="B276" s="88" t="str">
        <f>'Таблица №10'!C277</f>
        <v>1003</v>
      </c>
      <c r="C276" s="88"/>
      <c r="D276" s="88"/>
      <c r="E276" s="88"/>
      <c r="F276" s="73">
        <f>'Таблица №10'!G277</f>
        <v>-2898.4770000000003</v>
      </c>
      <c r="G276" s="73">
        <f>'Таблица №10'!H277</f>
        <v>14338.312</v>
      </c>
      <c r="H276" s="73">
        <f>'Таблица №10'!I277</f>
        <v>-3620.1769999999997</v>
      </c>
      <c r="I276" s="73">
        <f>'Таблица №10'!J277</f>
        <v>13616.612</v>
      </c>
      <c r="J276" s="73">
        <f>'Таблица №10'!K277</f>
        <v>13715.012</v>
      </c>
    </row>
    <row r="277" spans="1:10" s="16" customFormat="1" ht="29.25" customHeight="1" outlineLevel="2">
      <c r="A277" s="52" t="str">
        <f>'Таблица №10'!A278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277" s="88" t="str">
        <f>'Таблица №10'!C278</f>
        <v>1003</v>
      </c>
      <c r="C277" s="88" t="str">
        <f>'Таблица №10'!D278</f>
        <v>14</v>
      </c>
      <c r="D277" s="88">
        <f>'Таблица №10'!E278</f>
        <v>0</v>
      </c>
      <c r="E277" s="88"/>
      <c r="F277" s="73">
        <f>'Таблица №10'!G278</f>
        <v>400</v>
      </c>
      <c r="G277" s="73">
        <f>'Таблица №10'!H278</f>
        <v>500</v>
      </c>
      <c r="H277" s="73">
        <f>'Таблица №10'!I278</f>
        <v>0</v>
      </c>
      <c r="I277" s="73">
        <f>'Таблица №10'!J278</f>
        <v>100</v>
      </c>
      <c r="J277" s="73">
        <f>'Таблица №10'!K278</f>
        <v>100</v>
      </c>
    </row>
    <row r="278" spans="1:10" ht="12.75" outlineLevel="3">
      <c r="A278" s="52" t="str">
        <f>'Таблица №10'!A279</f>
        <v>Социальное обеспечение и иные выплаты населению</v>
      </c>
      <c r="B278" s="88" t="str">
        <f>'Таблица №10'!C279</f>
        <v>1003</v>
      </c>
      <c r="C278" s="88" t="str">
        <f>'Таблица №10'!D279</f>
        <v>14</v>
      </c>
      <c r="D278" s="88">
        <f>'Таблица №10'!E279</f>
        <v>0</v>
      </c>
      <c r="E278" s="88">
        <f>'Таблица №10'!F279</f>
        <v>300</v>
      </c>
      <c r="F278" s="73">
        <f>'Таблица №10'!G279</f>
        <v>400</v>
      </c>
      <c r="G278" s="73">
        <f>'Таблица №10'!H279</f>
        <v>500</v>
      </c>
      <c r="H278" s="73">
        <f>'Таблица №10'!I279</f>
        <v>0</v>
      </c>
      <c r="I278" s="73">
        <f>'Таблица №10'!J279</f>
        <v>100</v>
      </c>
      <c r="J278" s="73">
        <f>'Таблица №10'!K279</f>
        <v>100</v>
      </c>
    </row>
    <row r="279" spans="1:10" ht="14.25" customHeight="1" outlineLevel="1">
      <c r="A279" s="52" t="str">
        <f>'Таблица №10'!A280</f>
        <v>Непрограммные расходы органов местного самоуправления Алексеевского муниципального района</v>
      </c>
      <c r="B279" s="88" t="str">
        <f>'Таблица №10'!C280</f>
        <v>1003</v>
      </c>
      <c r="C279" s="88" t="str">
        <f>'Таблица №10'!D280</f>
        <v>99</v>
      </c>
      <c r="D279" s="88">
        <f>'Таблица №10'!E280</f>
        <v>0</v>
      </c>
      <c r="E279" s="88"/>
      <c r="F279" s="73">
        <f>'Таблица №10'!G280</f>
        <v>-3298.4770000000003</v>
      </c>
      <c r="G279" s="73">
        <f>'Таблица №10'!H280</f>
        <v>13838.312</v>
      </c>
      <c r="H279" s="73">
        <f>'Таблица №10'!I280</f>
        <v>-3620.1769999999997</v>
      </c>
      <c r="I279" s="73">
        <f>'Таблица №10'!J280</f>
        <v>13516.612</v>
      </c>
      <c r="J279" s="73">
        <f>'Таблица №10'!K280</f>
        <v>13615.012</v>
      </c>
    </row>
    <row r="280" spans="1:10" ht="24" customHeight="1" outlineLevel="1">
      <c r="A280" s="52" t="str">
        <f>'Таблица №10'!A281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280" s="88" t="str">
        <f>'Таблица №10'!C281</f>
        <v>1003</v>
      </c>
      <c r="C280" s="88" t="str">
        <f>'Таблица №10'!D281</f>
        <v>99</v>
      </c>
      <c r="D280" s="88">
        <f>'Таблица №10'!E281</f>
        <v>0</v>
      </c>
      <c r="E280" s="88"/>
      <c r="F280" s="73">
        <f>'Таблица №10'!G281</f>
        <v>-2703.077</v>
      </c>
      <c r="G280" s="73">
        <f>'Таблица №10'!H281</f>
        <v>9954.912</v>
      </c>
      <c r="H280" s="73">
        <f>'Таблица №10'!I281</f>
        <v>-2703.077</v>
      </c>
      <c r="I280" s="73">
        <f>'Таблица №10'!J281</f>
        <v>9954.912</v>
      </c>
      <c r="J280" s="73">
        <f>'Таблица №10'!K281</f>
        <v>9954.912</v>
      </c>
    </row>
    <row r="281" spans="1:10" ht="13.5" customHeight="1" outlineLevel="2">
      <c r="A281" s="52" t="str">
        <f>'Таблица №10'!A282</f>
        <v>Социальное обеспечение и иные выплаты населению</v>
      </c>
      <c r="B281" s="88" t="str">
        <f>'Таблица №10'!C282</f>
        <v>1003</v>
      </c>
      <c r="C281" s="88" t="str">
        <f>'Таблица №10'!D282</f>
        <v>99</v>
      </c>
      <c r="D281" s="88">
        <f>'Таблица №10'!E282</f>
        <v>0</v>
      </c>
      <c r="E281" s="88">
        <f>'Таблица №10'!F282</f>
        <v>300</v>
      </c>
      <c r="F281" s="73">
        <f>'Таблица №10'!G282</f>
        <v>-2676.32</v>
      </c>
      <c r="G281" s="73">
        <f>'Таблица №10'!H282</f>
        <v>9856.349</v>
      </c>
      <c r="H281" s="73">
        <f>'Таблица №10'!I282</f>
        <v>-2676.32</v>
      </c>
      <c r="I281" s="73">
        <f>'Таблица №10'!J282</f>
        <v>9856.349</v>
      </c>
      <c r="J281" s="73">
        <f>'Таблица №10'!K282</f>
        <v>9856.349</v>
      </c>
    </row>
    <row r="282" spans="1:10" ht="24.75" customHeight="1" outlineLevel="3">
      <c r="A282" s="52" t="str">
        <f>'Таблица №10'!A283</f>
        <v>Закупка товаров, работ и услуг для государственных (муниципальных) нужд</v>
      </c>
      <c r="B282" s="88" t="str">
        <f>'Таблица №10'!C283</f>
        <v>1003</v>
      </c>
      <c r="C282" s="88" t="str">
        <f>'Таблица №10'!D283</f>
        <v>99</v>
      </c>
      <c r="D282" s="88">
        <f>'Таблица №10'!E283</f>
        <v>0</v>
      </c>
      <c r="E282" s="88">
        <f>'Таблица №10'!F283</f>
        <v>200</v>
      </c>
      <c r="F282" s="73">
        <f>'Таблица №10'!G283</f>
        <v>-26.757</v>
      </c>
      <c r="G282" s="73">
        <f>'Таблица №10'!H283</f>
        <v>98.56299999999999</v>
      </c>
      <c r="H282" s="73">
        <f>'Таблица №10'!I283</f>
        <v>-26.757</v>
      </c>
      <c r="I282" s="73">
        <f>'Таблица №10'!J283</f>
        <v>98.56299999999999</v>
      </c>
      <c r="J282" s="73">
        <f>'Таблица №10'!K283</f>
        <v>98.56299999999999</v>
      </c>
    </row>
    <row r="283" spans="1:10" ht="80.25" customHeight="1">
      <c r="A283" s="52" t="str">
        <f>'Таблица №10'!A284</f>
        <v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v>
      </c>
      <c r="B283" s="88" t="str">
        <f>'Таблица №10'!C284</f>
        <v>1003</v>
      </c>
      <c r="C283" s="88" t="str">
        <f>'Таблица №10'!D284</f>
        <v>99</v>
      </c>
      <c r="D283" s="88">
        <f>'Таблица №10'!E284</f>
        <v>0</v>
      </c>
      <c r="E283" s="88">
        <f>'Таблица №10'!F284</f>
        <v>300</v>
      </c>
      <c r="F283" s="73">
        <f>'Таблица №10'!G284</f>
        <v>-245.2</v>
      </c>
      <c r="G283" s="73">
        <f>'Таблица №10'!H284</f>
        <v>1111.3999999999999</v>
      </c>
      <c r="H283" s="73">
        <f>'Таблица №10'!I284</f>
        <v>-245.2</v>
      </c>
      <c r="I283" s="73">
        <f>'Таблица №10'!J284</f>
        <v>1111.3999999999999</v>
      </c>
      <c r="J283" s="73">
        <f>'Таблица №10'!K284</f>
        <v>1111.4</v>
      </c>
    </row>
    <row r="284" spans="1:10" ht="72" outlineLevel="1">
      <c r="A284" s="52" t="str">
        <f>'Таблица №10'!A285</f>
        <v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v>
      </c>
      <c r="B284" s="88" t="str">
        <f>'Таблица №10'!C285</f>
        <v>1003</v>
      </c>
      <c r="C284" s="88" t="str">
        <f>'Таблица №10'!D285</f>
        <v>99</v>
      </c>
      <c r="D284" s="88">
        <f>'Таблица №10'!E285</f>
        <v>0</v>
      </c>
      <c r="E284" s="88">
        <f>'Таблица №10'!F285</f>
        <v>300</v>
      </c>
      <c r="F284" s="73">
        <f>'Таблица №10'!G285</f>
        <v>13.7</v>
      </c>
      <c r="G284" s="73">
        <f>'Таблица №10'!H285</f>
        <v>37.2</v>
      </c>
      <c r="H284" s="73">
        <f>'Таблица №10'!I285</f>
        <v>9.4</v>
      </c>
      <c r="I284" s="73">
        <f>'Таблица №10'!J285</f>
        <v>32.9</v>
      </c>
      <c r="J284" s="73">
        <f>'Таблица №10'!K285</f>
        <v>34.2</v>
      </c>
    </row>
    <row r="285" spans="1:10" ht="96" hidden="1" outlineLevel="1">
      <c r="A285" s="52" t="str">
        <f>'Таблица №10'!A286</f>
        <v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v>
      </c>
      <c r="B285" s="88" t="str">
        <f>'Таблица №10'!C286</f>
        <v>1003</v>
      </c>
      <c r="C285" s="88" t="str">
        <f>'Таблица №10'!D286</f>
        <v>99</v>
      </c>
      <c r="D285" s="88">
        <f>'Таблица №10'!E286</f>
        <v>0</v>
      </c>
      <c r="E285" s="88">
        <f>'Таблица №10'!F286</f>
        <v>300</v>
      </c>
      <c r="F285" s="73">
        <f>'Таблица №10'!G286</f>
        <v>-363.9</v>
      </c>
      <c r="G285" s="73">
        <f>'Таблица №10'!H286</f>
        <v>2734.7999999999997</v>
      </c>
      <c r="H285" s="73">
        <f>'Таблица №10'!I286</f>
        <v>-681.3</v>
      </c>
      <c r="I285" s="73">
        <f>'Таблица №10'!J286</f>
        <v>2417.3999999999996</v>
      </c>
      <c r="J285" s="73">
        <f>'Таблица №10'!K286</f>
        <v>2514.5</v>
      </c>
    </row>
    <row r="286" spans="1:10" ht="17.25" customHeight="1" hidden="1" outlineLevel="1">
      <c r="A286" s="52" t="str">
        <f>'Таблица №10'!A287</f>
        <v>Охрана семьи и детства</v>
      </c>
      <c r="B286" s="88" t="str">
        <f>'Таблица №10'!C287</f>
        <v>1004</v>
      </c>
      <c r="C286" s="88"/>
      <c r="D286" s="88"/>
      <c r="E286" s="88"/>
      <c r="F286" s="73">
        <f>'Таблица №10'!G287</f>
        <v>123.30000000000007</v>
      </c>
      <c r="G286" s="73">
        <f>'Таблица №10'!H287</f>
        <v>8774.9</v>
      </c>
      <c r="H286" s="73">
        <f>'Таблица №10'!I287</f>
        <v>-202.30000000000007</v>
      </c>
      <c r="I286" s="73">
        <f>'Таблица №10'!J287</f>
        <v>8691.199999999999</v>
      </c>
      <c r="J286" s="73">
        <f>'Таблица №10'!K287</f>
        <v>8716.7</v>
      </c>
    </row>
    <row r="287" spans="1:10" ht="27" customHeight="1" outlineLevel="1">
      <c r="A287" s="52" t="str">
        <f>'Таблица №10'!A288</f>
        <v>Муниципальная программа "Молодой семье – доступное жилье на территории Алексеевского муниципального района на 2019-2020 годы"</v>
      </c>
      <c r="B287" s="88" t="str">
        <f>'Таблица №10'!C288</f>
        <v>1004</v>
      </c>
      <c r="C287" s="88" t="str">
        <f>'Таблица №10'!D288</f>
        <v>11</v>
      </c>
      <c r="D287" s="88">
        <f>'Таблица №10'!E288</f>
        <v>0</v>
      </c>
      <c r="E287" s="88"/>
      <c r="F287" s="73">
        <f>'Таблица №10'!G288</f>
        <v>0</v>
      </c>
      <c r="G287" s="73">
        <f>'Таблица №10'!H288</f>
        <v>0</v>
      </c>
      <c r="H287" s="73">
        <f>'Таблица №10'!I288</f>
        <v>0</v>
      </c>
      <c r="I287" s="73">
        <f>'Таблица №10'!J288</f>
        <v>0</v>
      </c>
      <c r="J287" s="73">
        <f>'Таблица №10'!K288</f>
        <v>0</v>
      </c>
    </row>
    <row r="288" spans="1:10" ht="21.75" customHeight="1" outlineLevel="5">
      <c r="A288" s="52" t="str">
        <f>'Таблица №10'!A289</f>
        <v>Социальное обеспечение и иные выплаты населению</v>
      </c>
      <c r="B288" s="88" t="str">
        <f>'Таблица №10'!C289</f>
        <v>1004</v>
      </c>
      <c r="C288" s="88" t="str">
        <f>'Таблица №10'!D289</f>
        <v>11</v>
      </c>
      <c r="D288" s="88">
        <f>'Таблица №10'!E289</f>
        <v>0</v>
      </c>
      <c r="E288" s="88">
        <f>'Таблица №10'!F289</f>
        <v>300</v>
      </c>
      <c r="F288" s="73">
        <f>'Таблица №10'!G289</f>
        <v>0</v>
      </c>
      <c r="G288" s="73">
        <f>'Таблица №10'!H289</f>
        <v>0</v>
      </c>
      <c r="H288" s="73">
        <f>'Таблица №10'!I289</f>
        <v>0</v>
      </c>
      <c r="I288" s="73">
        <f>'Таблица №10'!J289</f>
        <v>0</v>
      </c>
      <c r="J288" s="73">
        <f>'Таблица №10'!K289</f>
        <v>0</v>
      </c>
    </row>
    <row r="289" spans="1:10" ht="16.5" customHeight="1" outlineLevel="5">
      <c r="A289" s="52" t="str">
        <f>'Таблица №10'!A290</f>
        <v>Непрограммные расходы органов местного самоуправления Алексеевского муниципального района</v>
      </c>
      <c r="B289" s="88" t="str">
        <f>'Таблица №10'!C290</f>
        <v>1004</v>
      </c>
      <c r="C289" s="88" t="str">
        <f>'Таблица №10'!D290</f>
        <v>99</v>
      </c>
      <c r="D289" s="88">
        <f>'Таблица №10'!E290</f>
        <v>0</v>
      </c>
      <c r="E289" s="88"/>
      <c r="F289" s="73">
        <f>'Таблица №10'!G290</f>
        <v>123.30000000000007</v>
      </c>
      <c r="G289" s="73">
        <f>'Таблица №10'!H290</f>
        <v>8774.9</v>
      </c>
      <c r="H289" s="73">
        <f>'Таблица №10'!I290</f>
        <v>-202.30000000000007</v>
      </c>
      <c r="I289" s="73">
        <f>'Таблица №10'!J290</f>
        <v>8691.199999999999</v>
      </c>
      <c r="J289" s="73">
        <f>'Таблица №10'!K290</f>
        <v>8716.7</v>
      </c>
    </row>
    <row r="290" spans="1:10" ht="27" customHeight="1" outlineLevel="2">
      <c r="A290" s="52" t="str">
        <f>'Таблица №10'!A291</f>
        <v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v>
      </c>
      <c r="B290" s="88" t="str">
        <f>'Таблица №10'!C291</f>
        <v>1004</v>
      </c>
      <c r="C290" s="88" t="str">
        <f>'Таблица №10'!D291</f>
        <v>99</v>
      </c>
      <c r="D290" s="88">
        <f>'Таблица №10'!E291</f>
        <v>0</v>
      </c>
      <c r="E290" s="88"/>
      <c r="F290" s="73">
        <f>'Таблица №10'!G291</f>
        <v>-619.1</v>
      </c>
      <c r="G290" s="73">
        <f>'Таблица №10'!H291</f>
        <v>721.1999999999999</v>
      </c>
      <c r="H290" s="73">
        <f>'Таблица №10'!I291</f>
        <v>-702.8000000000001</v>
      </c>
      <c r="I290" s="73">
        <f>'Таблица №10'!J291</f>
        <v>637.4999999999999</v>
      </c>
      <c r="J290" s="73">
        <f>'Таблица №10'!K291</f>
        <v>663</v>
      </c>
    </row>
    <row r="291" spans="1:10" ht="14.25" customHeight="1" outlineLevel="3">
      <c r="A291" s="52" t="str">
        <f>'Таблица №10'!A292</f>
        <v>Социальное обеспечение и иные выплаты населению</v>
      </c>
      <c r="B291" s="88" t="str">
        <f>'Таблица №10'!C292</f>
        <v>1004</v>
      </c>
      <c r="C291" s="88" t="str">
        <f>'Таблица №10'!D292</f>
        <v>99</v>
      </c>
      <c r="D291" s="88">
        <f>'Таблица №10'!E292</f>
        <v>0</v>
      </c>
      <c r="E291" s="88">
        <f>'Таблица №10'!F292</f>
        <v>300</v>
      </c>
      <c r="F291" s="73">
        <f>'Таблица №10'!G292</f>
        <v>-612.97</v>
      </c>
      <c r="G291" s="73">
        <f>'Таблица №10'!H292</f>
        <v>714.06</v>
      </c>
      <c r="H291" s="73">
        <f>'Таблица №10'!I292</f>
        <v>-695.84</v>
      </c>
      <c r="I291" s="73">
        <f>'Таблица №10'!J292</f>
        <v>631.1899999999999</v>
      </c>
      <c r="J291" s="73">
        <f>'Таблица №10'!K292</f>
        <v>656.44</v>
      </c>
    </row>
    <row r="292" spans="1:10" ht="24" outlineLevel="2">
      <c r="A292" s="52" t="str">
        <f>'Таблица №10'!A293</f>
        <v>Закупка товаров, работ и услуг для государственных (муниципальных) нужд</v>
      </c>
      <c r="B292" s="88" t="str">
        <f>'Таблица №10'!C293</f>
        <v>1004</v>
      </c>
      <c r="C292" s="88" t="str">
        <f>'Таблица №10'!D293</f>
        <v>99</v>
      </c>
      <c r="D292" s="88">
        <f>'Таблица №10'!E293</f>
        <v>0</v>
      </c>
      <c r="E292" s="88">
        <f>'Таблица №10'!F293</f>
        <v>200</v>
      </c>
      <c r="F292" s="73">
        <f>'Таблица №10'!G293</f>
        <v>-6.13</v>
      </c>
      <c r="G292" s="73">
        <f>'Таблица №10'!H293</f>
        <v>7.14</v>
      </c>
      <c r="H292" s="73">
        <f>'Таблица №10'!I293</f>
        <v>-6.96</v>
      </c>
      <c r="I292" s="73">
        <f>'Таблица №10'!J293</f>
        <v>6.31</v>
      </c>
      <c r="J292" s="73">
        <f>'Таблица №10'!K293</f>
        <v>6.56</v>
      </c>
    </row>
    <row r="293" spans="1:10" ht="41.25" customHeight="1" outlineLevel="3">
      <c r="A293" s="52" t="str">
        <f>'Таблица №10'!A294</f>
        <v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v>
      </c>
      <c r="B293" s="88" t="str">
        <f>'Таблица №10'!C294</f>
        <v>1004</v>
      </c>
      <c r="C293" s="88" t="str">
        <f>'Таблица №10'!D294</f>
        <v>99</v>
      </c>
      <c r="D293" s="88">
        <f>'Таблица №10'!E294</f>
        <v>0</v>
      </c>
      <c r="E293" s="88"/>
      <c r="F293" s="73">
        <f>'Таблица №10'!G294</f>
        <v>742.4000000000001</v>
      </c>
      <c r="G293" s="73">
        <f>'Таблица №10'!H294</f>
        <v>8053.7</v>
      </c>
      <c r="H293" s="73">
        <f>'Таблица №10'!I294</f>
        <v>500.5</v>
      </c>
      <c r="I293" s="73">
        <f>'Таблица №10'!J294</f>
        <v>8053.7</v>
      </c>
      <c r="J293" s="73">
        <f>'Таблица №10'!K294</f>
        <v>8053.7</v>
      </c>
    </row>
    <row r="294" spans="1:10" ht="17.25" customHeight="1" outlineLevel="3">
      <c r="A294" s="52" t="str">
        <f>'Таблица №10'!A295</f>
        <v>на выплату пособий по опеке и попечительству</v>
      </c>
      <c r="B294" s="88" t="str">
        <f>'Таблица №10'!C295</f>
        <v>1004</v>
      </c>
      <c r="C294" s="88" t="str">
        <f>'Таблица №10'!D295</f>
        <v>99</v>
      </c>
      <c r="D294" s="88">
        <f>'Таблица №10'!E295</f>
        <v>0</v>
      </c>
      <c r="E294" s="88">
        <f>'Таблица №10'!F295</f>
        <v>300</v>
      </c>
      <c r="F294" s="73">
        <f>'Таблица №10'!G295</f>
        <v>298.8</v>
      </c>
      <c r="G294" s="73">
        <f>'Таблица №10'!H295</f>
        <v>6293</v>
      </c>
      <c r="H294" s="73">
        <f>'Таблица №10'!I295</f>
        <v>59</v>
      </c>
      <c r="I294" s="73">
        <f>'Таблица №10'!J295</f>
        <v>6293</v>
      </c>
      <c r="J294" s="73">
        <f>'Таблица №10'!K295</f>
        <v>6293</v>
      </c>
    </row>
    <row r="295" spans="1:10" ht="27" customHeight="1" outlineLevel="3">
      <c r="A295" s="52" t="str">
        <f>'Таблица №10'!A296</f>
        <v>на вознаграждение за труд, причитающегося приемным родителям (патронатному воспитателю), и предоставление им мер социальной поддержки </v>
      </c>
      <c r="B295" s="88" t="str">
        <f>'Таблица №10'!C296</f>
        <v>1004</v>
      </c>
      <c r="C295" s="88" t="str">
        <f>'Таблица №10'!D296</f>
        <v>99</v>
      </c>
      <c r="D295" s="88">
        <f>'Таблица №10'!E296</f>
        <v>0</v>
      </c>
      <c r="E295" s="88">
        <f>'Таблица №10'!F296</f>
        <v>300</v>
      </c>
      <c r="F295" s="73">
        <f>'Таблица №10'!G296</f>
        <v>443.6</v>
      </c>
      <c r="G295" s="73">
        <f>'Таблица №10'!H296</f>
        <v>1760.6999999999998</v>
      </c>
      <c r="H295" s="73">
        <f>'Таблица №10'!I296</f>
        <v>441.5</v>
      </c>
      <c r="I295" s="73">
        <f>'Таблица №10'!J296</f>
        <v>1760.7</v>
      </c>
      <c r="J295" s="73">
        <f>'Таблица №10'!K296</f>
        <v>1760.7</v>
      </c>
    </row>
    <row r="296" spans="1:10" ht="21" customHeight="1" outlineLevel="3">
      <c r="A296" s="52" t="str">
        <f>'Таблица №10'!A297</f>
        <v>Другие вопросы в области социальной политики</v>
      </c>
      <c r="B296" s="88" t="str">
        <f>'Таблица №10'!C297</f>
        <v>1006</v>
      </c>
      <c r="C296" s="88">
        <f>'Таблица №10'!D297</f>
        <v>0</v>
      </c>
      <c r="D296" s="88">
        <f>'Таблица №10'!E297</f>
        <v>0</v>
      </c>
      <c r="E296" s="88">
        <f>'Таблица №10'!F297</f>
        <v>0</v>
      </c>
      <c r="F296" s="73">
        <f>'Таблица №10'!G297</f>
        <v>-77.023</v>
      </c>
      <c r="G296" s="73">
        <f>'Таблица №10'!H297</f>
        <v>1027.388</v>
      </c>
      <c r="H296" s="73">
        <f>'Таблица №10'!I297</f>
        <v>-77.023</v>
      </c>
      <c r="I296" s="73">
        <f>'Таблица №10'!J297</f>
        <v>1027.388</v>
      </c>
      <c r="J296" s="73">
        <f>'Таблица №10'!K297</f>
        <v>1027.388</v>
      </c>
    </row>
    <row r="297" spans="1:10" ht="28.5" customHeight="1" outlineLevel="3">
      <c r="A297" s="52" t="str">
        <f>'Таблица №10'!A298</f>
        <v>Непрограммные расходы органов местного самоуправления Алексеевского муниципального района</v>
      </c>
      <c r="B297" s="88" t="str">
        <f>'Таблица №10'!C298</f>
        <v>1006</v>
      </c>
      <c r="C297" s="88" t="str">
        <f>'Таблица №10'!D298</f>
        <v>99</v>
      </c>
      <c r="D297" s="88">
        <f>'Таблица №10'!E298</f>
        <v>0</v>
      </c>
      <c r="E297" s="88">
        <f>'Таблица №10'!F298</f>
        <v>0</v>
      </c>
      <c r="F297" s="73">
        <f>'Таблица №10'!G298</f>
        <v>-77.023</v>
      </c>
      <c r="G297" s="73">
        <f>'Таблица №10'!H298</f>
        <v>1027.388</v>
      </c>
      <c r="H297" s="73">
        <f>'Таблица №10'!I298</f>
        <v>-77.023</v>
      </c>
      <c r="I297" s="73">
        <f>'Таблица №10'!J298</f>
        <v>1027.388</v>
      </c>
      <c r="J297" s="73">
        <f>'Таблица №10'!K298</f>
        <v>1027.388</v>
      </c>
    </row>
    <row r="298" spans="1:10" ht="36.75" customHeight="1" outlineLevel="3">
      <c r="A298" s="52" t="str">
        <f>'Таблица №10'!A299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298" s="88" t="str">
        <f>'Таблица №10'!C299</f>
        <v>1006</v>
      </c>
      <c r="C298" s="88" t="str">
        <f>'Таблица №10'!D299</f>
        <v>99</v>
      </c>
      <c r="D298" s="88">
        <f>'Таблица №10'!E299</f>
        <v>0</v>
      </c>
      <c r="E298" s="88">
        <f>'Таблица №10'!F299</f>
        <v>0</v>
      </c>
      <c r="F298" s="73">
        <f>'Таблица №10'!G299</f>
        <v>-77.023</v>
      </c>
      <c r="G298" s="73">
        <f>'Таблица №10'!H299</f>
        <v>1027.388</v>
      </c>
      <c r="H298" s="73">
        <f>'Таблица №10'!I299</f>
        <v>-77.023</v>
      </c>
      <c r="I298" s="73">
        <f>'Таблица №10'!J299</f>
        <v>1027.388</v>
      </c>
      <c r="J298" s="73">
        <f>'Таблица №10'!K299</f>
        <v>1027.388</v>
      </c>
    </row>
    <row r="299" spans="1:10" ht="15.75" customHeight="1" outlineLevel="2">
      <c r="A299" s="52" t="str">
        <f>'Таблица №10'!A300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99" s="88" t="str">
        <f>'Таблица №10'!C300</f>
        <v>1006</v>
      </c>
      <c r="C299" s="88" t="str">
        <f>'Таблица №10'!D300</f>
        <v>99</v>
      </c>
      <c r="D299" s="88">
        <f>'Таблица №10'!E300</f>
        <v>0</v>
      </c>
      <c r="E299" s="88">
        <f>'Таблица №10'!F300</f>
        <v>100</v>
      </c>
      <c r="F299" s="73">
        <f>'Таблица №10'!G300</f>
        <v>0</v>
      </c>
      <c r="G299" s="73">
        <f>'Таблица №10'!H300</f>
        <v>936</v>
      </c>
      <c r="H299" s="73">
        <f>'Таблица №10'!I300</f>
        <v>0</v>
      </c>
      <c r="I299" s="73">
        <f>'Таблица №10'!J300</f>
        <v>936</v>
      </c>
      <c r="J299" s="73">
        <f>'Таблица №10'!K300</f>
        <v>936</v>
      </c>
    </row>
    <row r="300" spans="1:10" ht="15.75" customHeight="1" outlineLevel="2">
      <c r="A300" s="52" t="str">
        <f>'Таблица №10'!A301</f>
        <v>Закупка товаров, работ и услуг для государственных (муниципальных) нужд</v>
      </c>
      <c r="B300" s="88" t="str">
        <f>'Таблица №10'!C301</f>
        <v>1006</v>
      </c>
      <c r="C300" s="88" t="str">
        <f>'Таблица №10'!D301</f>
        <v>99</v>
      </c>
      <c r="D300" s="88">
        <f>'Таблица №10'!E301</f>
        <v>0</v>
      </c>
      <c r="E300" s="88">
        <f>'Таблица №10'!F301</f>
        <v>200</v>
      </c>
      <c r="F300" s="73">
        <f>'Таблица №10'!G301</f>
        <v>-77.023</v>
      </c>
      <c r="G300" s="73">
        <f>'Таблица №10'!H301</f>
        <v>91.388</v>
      </c>
      <c r="H300" s="73">
        <f>'Таблица №10'!I301</f>
        <v>-77.023</v>
      </c>
      <c r="I300" s="73">
        <f>'Таблица №10'!J301</f>
        <v>91.388</v>
      </c>
      <c r="J300" s="73">
        <f>'Таблица №10'!K301</f>
        <v>91.388</v>
      </c>
    </row>
    <row r="301" spans="1:10" ht="15.75" customHeight="1" outlineLevel="2">
      <c r="A301" s="52" t="str">
        <f>'Таблица №10'!A302</f>
        <v>Физическая культура и спорт</v>
      </c>
      <c r="B301" s="88" t="str">
        <f>'Таблица №10'!C302</f>
        <v>1100</v>
      </c>
      <c r="C301" s="88"/>
      <c r="D301" s="88"/>
      <c r="E301" s="88"/>
      <c r="F301" s="73">
        <f>'Таблица №10'!G302</f>
        <v>0</v>
      </c>
      <c r="G301" s="73">
        <f>'Таблица №10'!H302</f>
        <v>500</v>
      </c>
      <c r="H301" s="73">
        <f>'Таблица №10'!I302</f>
        <v>0</v>
      </c>
      <c r="I301" s="73">
        <f>'Таблица №10'!J302</f>
        <v>500</v>
      </c>
      <c r="J301" s="73">
        <f>'Таблица №10'!K302</f>
        <v>500</v>
      </c>
    </row>
    <row r="302" spans="1:10" ht="15.75" customHeight="1" hidden="1" outlineLevel="2">
      <c r="A302" s="52" t="str">
        <f>'Таблица №10'!A303</f>
        <v>Физическая культура </v>
      </c>
      <c r="B302" s="88" t="str">
        <f>'Таблица №10'!C303</f>
        <v>1101</v>
      </c>
      <c r="C302" s="88"/>
      <c r="D302" s="88"/>
      <c r="E302" s="88"/>
      <c r="F302" s="73">
        <f>'Таблица №10'!G303</f>
        <v>0</v>
      </c>
      <c r="G302" s="73">
        <f>'Таблица №10'!H303</f>
        <v>0</v>
      </c>
      <c r="H302" s="73">
        <f>'Таблица №10'!I303</f>
        <v>0</v>
      </c>
      <c r="I302" s="73">
        <f>'Таблица №10'!J303</f>
        <v>0</v>
      </c>
      <c r="J302" s="73">
        <f>'Таблица №10'!K303</f>
        <v>0</v>
      </c>
    </row>
    <row r="303" spans="1:10" ht="26.25" customHeight="1" hidden="1" outlineLevel="2">
      <c r="A303" s="52" t="str">
        <f>'Таблица №10'!A304</f>
        <v>Муниципальная программа "Комплексное развитие сельских территорий"</v>
      </c>
      <c r="B303" s="88" t="str">
        <f>'Таблица №10'!C304</f>
        <v>1101</v>
      </c>
      <c r="C303" s="88" t="str">
        <f>'Таблица №10'!D304</f>
        <v>03</v>
      </c>
      <c r="D303" s="88">
        <f>'Таблица №10'!E304</f>
        <v>0</v>
      </c>
      <c r="E303" s="88"/>
      <c r="F303" s="73">
        <f>'Таблица №10'!G304</f>
        <v>0</v>
      </c>
      <c r="G303" s="73">
        <f>'Таблица №10'!H304</f>
        <v>0</v>
      </c>
      <c r="H303" s="73">
        <f>'Таблица №10'!I304</f>
        <v>0</v>
      </c>
      <c r="I303" s="73">
        <f>'Таблица №10'!J304</f>
        <v>0</v>
      </c>
      <c r="J303" s="73">
        <f>'Таблица №10'!K304</f>
        <v>0</v>
      </c>
    </row>
    <row r="304" spans="1:10" ht="15.75" customHeight="1" hidden="1" outlineLevel="2">
      <c r="A304" s="52" t="str">
        <f>'Таблица №10'!A305</f>
        <v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v>
      </c>
      <c r="B304" s="88" t="str">
        <f>'Таблица №10'!C305</f>
        <v>1101</v>
      </c>
      <c r="C304" s="88" t="str">
        <f>'Таблица №10'!D305</f>
        <v>03</v>
      </c>
      <c r="D304" s="88">
        <f>'Таблица №10'!E305</f>
        <v>0</v>
      </c>
      <c r="E304" s="88">
        <f>'Таблица №10'!F305</f>
        <v>400</v>
      </c>
      <c r="F304" s="73">
        <f>'Таблица №10'!G305</f>
        <v>0</v>
      </c>
      <c r="G304" s="73">
        <f>'Таблица №10'!H305</f>
        <v>0</v>
      </c>
      <c r="H304" s="73">
        <f>'Таблица №10'!I305</f>
        <v>0</v>
      </c>
      <c r="I304" s="73">
        <f>'Таблица №10'!J305</f>
        <v>0</v>
      </c>
      <c r="J304" s="73">
        <f>'Таблица №10'!K305</f>
        <v>0</v>
      </c>
    </row>
    <row r="305" spans="1:10" ht="15.75" customHeight="1" hidden="1" outlineLevel="2">
      <c r="A305" s="52" t="str">
        <f>'Таблица №10'!A306</f>
        <v>Капитальные вложения в объекты государственной (муниципальной) собственности (софинансирование)</v>
      </c>
      <c r="B305" s="88" t="str">
        <f>'Таблица №10'!C306</f>
        <v>1101</v>
      </c>
      <c r="C305" s="88" t="str">
        <f>'Таблица №10'!D306</f>
        <v>03</v>
      </c>
      <c r="D305" s="88">
        <f>'Таблица №10'!E306</f>
        <v>0</v>
      </c>
      <c r="E305" s="88">
        <f>'Таблица №10'!F306</f>
        <v>400</v>
      </c>
      <c r="F305" s="73">
        <f>'Таблица №10'!G306</f>
        <v>0</v>
      </c>
      <c r="G305" s="73">
        <f>'Таблица №10'!H306</f>
        <v>0</v>
      </c>
      <c r="H305" s="73">
        <f>'Таблица №10'!I306</f>
        <v>0</v>
      </c>
      <c r="I305" s="73">
        <f>'Таблица №10'!J306</f>
        <v>0</v>
      </c>
      <c r="J305" s="73">
        <f>'Таблица №10'!K306</f>
        <v>0</v>
      </c>
    </row>
    <row r="306" spans="1:10" ht="12.75" customHeight="1" hidden="1" outlineLevel="2">
      <c r="A306" s="52" t="str">
        <f>'Таблица №10'!A307</f>
        <v>Массовый спорт</v>
      </c>
      <c r="B306" s="88" t="str">
        <f>'Таблица №10'!C307</f>
        <v>1102</v>
      </c>
      <c r="C306" s="88"/>
      <c r="D306" s="88"/>
      <c r="E306" s="88"/>
      <c r="F306" s="73">
        <f>'Таблица №10'!G307</f>
        <v>0</v>
      </c>
      <c r="G306" s="73">
        <f>'Таблица №10'!H307</f>
        <v>0</v>
      </c>
      <c r="H306" s="73">
        <f>'Таблица №10'!I307</f>
        <v>0</v>
      </c>
      <c r="I306" s="73">
        <f>'Таблица №10'!J307</f>
        <v>0</v>
      </c>
      <c r="J306" s="73">
        <f>'Таблица №10'!K307</f>
        <v>0</v>
      </c>
    </row>
    <row r="307" spans="1:10" ht="15.75" customHeight="1" hidden="1" outlineLevel="2">
      <c r="A307" s="52" t="str">
        <f>'Таблица №10'!A308</f>
        <v>Муниципальная программа "Развитие физической культуры и спорта в Алексеевском муниципальном районе на 2019-2023 годы"</v>
      </c>
      <c r="B307" s="88" t="str">
        <f>'Таблица №10'!C308</f>
        <v>1102</v>
      </c>
      <c r="C307" s="88" t="str">
        <f>'Таблица №10'!D308</f>
        <v>17</v>
      </c>
      <c r="D307" s="88">
        <f>'Таблица №10'!E308</f>
        <v>0</v>
      </c>
      <c r="E307" s="88"/>
      <c r="F307" s="73">
        <f>'Таблица №10'!G308</f>
        <v>0</v>
      </c>
      <c r="G307" s="73">
        <f>'Таблица №10'!H308</f>
        <v>0</v>
      </c>
      <c r="H307" s="73">
        <f>'Таблица №10'!I308</f>
        <v>0</v>
      </c>
      <c r="I307" s="73">
        <f>'Таблица №10'!J308</f>
        <v>0</v>
      </c>
      <c r="J307" s="73">
        <f>'Таблица №10'!K308</f>
        <v>0</v>
      </c>
    </row>
    <row r="308" spans="1:10" ht="17.25" customHeight="1" hidden="1" outlineLevel="2">
      <c r="A308" s="52" t="str">
        <f>'Таблица №10'!A309</f>
        <v>Субсидия местным бюджетам на оснащение объектов спортивной инфраструктуры спортивно-технологическим оборудованием</v>
      </c>
      <c r="B308" s="88" t="str">
        <f>'Таблица №10'!C309</f>
        <v>1102</v>
      </c>
      <c r="C308" s="88" t="str">
        <f>'Таблица №10'!D309</f>
        <v>17</v>
      </c>
      <c r="D308" s="88">
        <f>'Таблица №10'!E309</f>
        <v>0</v>
      </c>
      <c r="E308" s="88">
        <f>'Таблица №10'!F309</f>
        <v>400</v>
      </c>
      <c r="F308" s="73">
        <f>'Таблица №10'!G309</f>
        <v>0</v>
      </c>
      <c r="G308" s="73">
        <f>'Таблица №10'!H309</f>
        <v>0</v>
      </c>
      <c r="H308" s="73">
        <f>'Таблица №10'!I309</f>
        <v>0</v>
      </c>
      <c r="I308" s="73">
        <f>'Таблица №10'!J309</f>
        <v>0</v>
      </c>
      <c r="J308" s="73">
        <f>'Таблица №10'!K309</f>
        <v>0</v>
      </c>
    </row>
    <row r="309" spans="1:10" ht="24" hidden="1" outlineLevel="3">
      <c r="A309" s="52" t="str">
        <f>'Таблица №10'!A310</f>
        <v>Капитальные вложения в объекты государственной (муниципальной) собственности</v>
      </c>
      <c r="B309" s="88" t="str">
        <f>'Таблица №10'!C310</f>
        <v>1102</v>
      </c>
      <c r="C309" s="88" t="str">
        <f>'Таблица №10'!D310</f>
        <v>17</v>
      </c>
      <c r="D309" s="88">
        <f>'Таблица №10'!E310</f>
        <v>0</v>
      </c>
      <c r="E309" s="88">
        <f>'Таблица №10'!F310</f>
        <v>400</v>
      </c>
      <c r="F309" s="73">
        <f>'Таблица №10'!G310</f>
        <v>0</v>
      </c>
      <c r="G309" s="73">
        <f>'Таблица №10'!H310</f>
        <v>0</v>
      </c>
      <c r="H309" s="73">
        <f>'Таблица №10'!I310</f>
        <v>0</v>
      </c>
      <c r="I309" s="73">
        <f>'Таблица №10'!J310</f>
        <v>0</v>
      </c>
      <c r="J309" s="73">
        <f>'Таблица №10'!K310</f>
        <v>0</v>
      </c>
    </row>
    <row r="310" spans="1:10" ht="19.5" customHeight="1" outlineLevel="3">
      <c r="A310" s="52" t="str">
        <f>'Таблица №10'!A311</f>
        <v>Другие вопросы в области физической культуры и спорта</v>
      </c>
      <c r="B310" s="88" t="str">
        <f>'Таблица №10'!C311</f>
        <v>1105</v>
      </c>
      <c r="C310" s="88"/>
      <c r="D310" s="88"/>
      <c r="E310" s="88"/>
      <c r="F310" s="73">
        <f>'Таблица №10'!G311</f>
        <v>0</v>
      </c>
      <c r="G310" s="73">
        <f>'Таблица №10'!H311</f>
        <v>500</v>
      </c>
      <c r="H310" s="73">
        <f>'Таблица №10'!I311</f>
        <v>0</v>
      </c>
      <c r="I310" s="73">
        <f>'Таблица №10'!J311</f>
        <v>500</v>
      </c>
      <c r="J310" s="73">
        <f>'Таблица №10'!K311</f>
        <v>500</v>
      </c>
    </row>
    <row r="311" spans="1:10" ht="16.5" customHeight="1" outlineLevel="3">
      <c r="A311" s="52" t="str">
        <f>'Таблица №10'!A312</f>
        <v>Муниципальная программа "Развитие физической культуры и спорта в Алексеевском муниципальном районе на 2019-2023 годы"</v>
      </c>
      <c r="B311" s="88" t="str">
        <f>'Таблица №10'!C312</f>
        <v>1105</v>
      </c>
      <c r="C311" s="88" t="str">
        <f>'Таблица №10'!D312</f>
        <v>17</v>
      </c>
      <c r="D311" s="88">
        <f>'Таблица №10'!E312</f>
        <v>0</v>
      </c>
      <c r="E311" s="88"/>
      <c r="F311" s="73">
        <f>'Таблица №10'!G312</f>
        <v>0</v>
      </c>
      <c r="G311" s="73">
        <f>'Таблица №10'!H312</f>
        <v>500</v>
      </c>
      <c r="H311" s="73">
        <f>'Таблица №10'!I312</f>
        <v>0</v>
      </c>
      <c r="I311" s="73">
        <f>'Таблица №10'!J312</f>
        <v>500</v>
      </c>
      <c r="J311" s="73">
        <f>'Таблица №10'!K312</f>
        <v>500</v>
      </c>
    </row>
    <row r="312" spans="1:10" ht="13.5" customHeight="1" outlineLevel="3">
      <c r="A312" s="52" t="str">
        <f>'Таблица №10'!A313</f>
        <v>Закупка товаров, работ и услуг для государственных (муниципальных) нужд</v>
      </c>
      <c r="B312" s="88" t="str">
        <f>'Таблица №10'!C313</f>
        <v>1105</v>
      </c>
      <c r="C312" s="88" t="str">
        <f>'Таблица №10'!D313</f>
        <v>17</v>
      </c>
      <c r="D312" s="88">
        <f>'Таблица №10'!E313</f>
        <v>0</v>
      </c>
      <c r="E312" s="88">
        <f>'Таблица №10'!F313</f>
        <v>200</v>
      </c>
      <c r="F312" s="73">
        <f>'Таблица №10'!G313</f>
        <v>0</v>
      </c>
      <c r="G312" s="73">
        <f>'Таблица №10'!H313</f>
        <v>500</v>
      </c>
      <c r="H312" s="73">
        <f>'Таблица №10'!I313</f>
        <v>0</v>
      </c>
      <c r="I312" s="73">
        <f>'Таблица №10'!J313</f>
        <v>500</v>
      </c>
      <c r="J312" s="73">
        <f>'Таблица №10'!K313</f>
        <v>500</v>
      </c>
    </row>
    <row r="313" spans="1:10" ht="12.75" outlineLevel="1">
      <c r="A313" s="52" t="str">
        <f>'Таблица №10'!A314</f>
        <v>Средства массовой информации </v>
      </c>
      <c r="B313" s="88" t="str">
        <f>'Таблица №10'!C314</f>
        <v>1200</v>
      </c>
      <c r="C313" s="88"/>
      <c r="D313" s="88"/>
      <c r="E313" s="88"/>
      <c r="F313" s="73">
        <f>'Таблица №10'!G314</f>
        <v>22.1</v>
      </c>
      <c r="G313" s="73">
        <f>'Таблица №10'!H314</f>
        <v>2271.5</v>
      </c>
      <c r="H313" s="73">
        <f>'Таблица №10'!I314</f>
        <v>22.1</v>
      </c>
      <c r="I313" s="73">
        <f>'Таблица №10'!J314</f>
        <v>2271.5</v>
      </c>
      <c r="J313" s="73">
        <f>'Таблица №10'!K314</f>
        <v>2271.5</v>
      </c>
    </row>
    <row r="314" spans="1:10" ht="16.5" customHeight="1" outlineLevel="2">
      <c r="A314" s="52" t="str">
        <f>'Таблица №10'!A315</f>
        <v>Периодическая печать и издательство</v>
      </c>
      <c r="B314" s="88" t="str">
        <f>'Таблица №10'!C315</f>
        <v>1202</v>
      </c>
      <c r="C314" s="88"/>
      <c r="D314" s="88"/>
      <c r="E314" s="88"/>
      <c r="F314" s="73">
        <f>'Таблица №10'!G315</f>
        <v>22.1</v>
      </c>
      <c r="G314" s="73">
        <f>'Таблица №10'!H315</f>
        <v>2271.5</v>
      </c>
      <c r="H314" s="73">
        <f>'Таблица №10'!I315</f>
        <v>22.1</v>
      </c>
      <c r="I314" s="73">
        <f>'Таблица №10'!J315</f>
        <v>2271.5</v>
      </c>
      <c r="J314" s="73">
        <f>'Таблица №10'!K315</f>
        <v>2271.5</v>
      </c>
    </row>
    <row r="315" spans="1:10" ht="36" outlineLevel="2">
      <c r="A315" s="52" t="str">
        <f>'Таблица №10'!A316</f>
        <v>Ведомственная целевая программа "Поддержка средств массовой информации в Алексеевском муниципальном районе на 2019-2021 годы"</v>
      </c>
      <c r="B315" s="88" t="str">
        <f>'Таблица №10'!C316</f>
        <v>1202</v>
      </c>
      <c r="C315" s="88" t="str">
        <f>'Таблица №10'!D316</f>
        <v>61</v>
      </c>
      <c r="D315" s="88">
        <f>'Таблица №10'!E316</f>
        <v>0</v>
      </c>
      <c r="E315" s="88"/>
      <c r="F315" s="73">
        <f>'Таблица №10'!G316</f>
        <v>22.1</v>
      </c>
      <c r="G315" s="73">
        <f>'Таблица №10'!H316</f>
        <v>2271.5</v>
      </c>
      <c r="H315" s="73">
        <f>'Таблица №10'!I316</f>
        <v>22.1</v>
      </c>
      <c r="I315" s="73">
        <f>'Таблица №10'!J316</f>
        <v>2271.5</v>
      </c>
      <c r="J315" s="73">
        <f>'Таблица №10'!K316</f>
        <v>2271.5</v>
      </c>
    </row>
    <row r="316" spans="1:10" ht="24" outlineLevel="5">
      <c r="A316" s="52" t="str">
        <f>'Таблица №10'!A317</f>
        <v>Предоставление субсидий бюджетным, автономным учреждениям и иным некоммерческим организациям</v>
      </c>
      <c r="B316" s="88" t="str">
        <f>'Таблица №10'!C317</f>
        <v>1202</v>
      </c>
      <c r="C316" s="88" t="str">
        <f>'Таблица №10'!D317</f>
        <v>61</v>
      </c>
      <c r="D316" s="88">
        <f>'Таблица №10'!E317</f>
        <v>0</v>
      </c>
      <c r="E316" s="88">
        <f>'Таблица №10'!F317</f>
        <v>600</v>
      </c>
      <c r="F316" s="73">
        <f>'Таблица №10'!G317</f>
        <v>0</v>
      </c>
      <c r="G316" s="73">
        <f>'Таблица №10'!H317</f>
        <v>1200</v>
      </c>
      <c r="H316" s="73">
        <f>'Таблица №10'!I317</f>
        <v>0</v>
      </c>
      <c r="I316" s="73">
        <f>'Таблица №10'!J317</f>
        <v>1200</v>
      </c>
      <c r="J316" s="73">
        <f>'Таблица №10'!K317</f>
        <v>1200</v>
      </c>
    </row>
    <row r="317" spans="1:10" ht="96" outlineLevel="5">
      <c r="A317" s="52" t="str">
        <f>'Таблица №10'!A318</f>
        <v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v>
      </c>
      <c r="B317" s="88" t="str">
        <f>'Таблица №10'!C318</f>
        <v>1202</v>
      </c>
      <c r="C317" s="88" t="str">
        <f>'Таблица №10'!D318</f>
        <v>61</v>
      </c>
      <c r="D317" s="88">
        <f>'Таблица №10'!E318</f>
        <v>0</v>
      </c>
      <c r="E317" s="88">
        <f>'Таблица №10'!F318</f>
        <v>600</v>
      </c>
      <c r="F317" s="73">
        <f>'Таблица №10'!G318</f>
        <v>22.1</v>
      </c>
      <c r="G317" s="73">
        <f>'Таблица №10'!H318</f>
        <v>1071.5</v>
      </c>
      <c r="H317" s="73">
        <f>'Таблица №10'!I318</f>
        <v>22.1</v>
      </c>
      <c r="I317" s="73">
        <f>'Таблица №10'!J318</f>
        <v>1071.5</v>
      </c>
      <c r="J317" s="73">
        <f>'Таблица №10'!K318</f>
        <v>1071.5</v>
      </c>
    </row>
    <row r="318" spans="1:10" ht="21" customHeight="1" outlineLevel="5">
      <c r="A318" s="52" t="str">
        <f>'Таблица №10'!A319</f>
        <v>Обслуживание государственного и муниципального долга </v>
      </c>
      <c r="B318" s="88" t="str">
        <f>'Таблица №10'!C319</f>
        <v>1300</v>
      </c>
      <c r="C318" s="88"/>
      <c r="D318" s="88"/>
      <c r="E318" s="88"/>
      <c r="F318" s="73">
        <f>'Таблица №10'!G319</f>
        <v>0</v>
      </c>
      <c r="G318" s="73">
        <f>'Таблица №10'!H319</f>
        <v>0</v>
      </c>
      <c r="H318" s="73">
        <f>'Таблица №10'!I319</f>
        <v>0</v>
      </c>
      <c r="I318" s="73">
        <f>'Таблица №10'!J319</f>
        <v>0</v>
      </c>
      <c r="J318" s="73">
        <f>'Таблица №10'!K319</f>
        <v>0</v>
      </c>
    </row>
    <row r="319" spans="1:10" ht="24" outlineLevel="5">
      <c r="A319" s="52" t="str">
        <f>'Таблица №10'!A320</f>
        <v>Обслуживание государственного внутреннего и муниципального долга</v>
      </c>
      <c r="B319" s="88" t="str">
        <f>'Таблица №10'!C320</f>
        <v>1301</v>
      </c>
      <c r="C319" s="88"/>
      <c r="D319" s="88"/>
      <c r="E319" s="88"/>
      <c r="F319" s="73">
        <f>'Таблица №10'!G320</f>
        <v>0</v>
      </c>
      <c r="G319" s="73">
        <f>'Таблица №10'!H320</f>
        <v>0</v>
      </c>
      <c r="H319" s="73">
        <f>'Таблица №10'!I320</f>
        <v>0</v>
      </c>
      <c r="I319" s="73">
        <f>'Таблица №10'!J320</f>
        <v>0</v>
      </c>
      <c r="J319" s="73">
        <f>'Таблица №10'!K320</f>
        <v>0</v>
      </c>
    </row>
    <row r="320" spans="1:10" ht="24" outlineLevel="5">
      <c r="A320" s="52" t="str">
        <f>'Таблица №10'!A321</f>
        <v>Непрограммные расходы органов местного самоуправления Алексеевского муниципального района</v>
      </c>
      <c r="B320" s="88" t="str">
        <f>'Таблица №10'!C321</f>
        <v>1301</v>
      </c>
      <c r="C320" s="88" t="str">
        <f>'Таблица №10'!D321</f>
        <v>99</v>
      </c>
      <c r="D320" s="88">
        <f>'Таблица №10'!E321</f>
        <v>0</v>
      </c>
      <c r="E320" s="88"/>
      <c r="F320" s="73">
        <f>'Таблица №10'!G321</f>
        <v>0</v>
      </c>
      <c r="G320" s="73">
        <f>'Таблица №10'!H321</f>
        <v>0</v>
      </c>
      <c r="H320" s="73">
        <f>'Таблица №10'!I321</f>
        <v>0</v>
      </c>
      <c r="I320" s="73">
        <f>'Таблица №10'!J321</f>
        <v>0</v>
      </c>
      <c r="J320" s="73">
        <f>'Таблица №10'!K321</f>
        <v>0</v>
      </c>
    </row>
    <row r="321" spans="1:10" ht="12.75" outlineLevel="5">
      <c r="A321" s="52" t="str">
        <f>'Таблица №10'!A322</f>
        <v>Обслуживание государственного (муниципального) долга </v>
      </c>
      <c r="B321" s="88" t="str">
        <f>'Таблица №10'!C322</f>
        <v>1301</v>
      </c>
      <c r="C321" s="88" t="str">
        <f>'Таблица №10'!D322</f>
        <v>99</v>
      </c>
      <c r="D321" s="88">
        <f>'Таблица №10'!E322</f>
        <v>0</v>
      </c>
      <c r="E321" s="88">
        <f>'Таблица №10'!F322</f>
        <v>700</v>
      </c>
      <c r="F321" s="73">
        <f>'Таблица №10'!G322</f>
        <v>0</v>
      </c>
      <c r="G321" s="73">
        <f>'Таблица №10'!H322</f>
        <v>0</v>
      </c>
      <c r="H321" s="73">
        <f>'Таблица №10'!I322</f>
        <v>0</v>
      </c>
      <c r="I321" s="73">
        <f>'Таблица №10'!J322</f>
        <v>0</v>
      </c>
      <c r="J321" s="73">
        <f>'Таблица №10'!K322</f>
        <v>0</v>
      </c>
    </row>
    <row r="322" spans="1:10" ht="30.75" customHeight="1" outlineLevel="5">
      <c r="A322" s="52" t="str">
        <f>'Таблица №10'!A323</f>
        <v>Межбюджетные трансферты общего характера бюджетам бюджетной системы Российской Федерации</v>
      </c>
      <c r="B322" s="88" t="str">
        <f>'Таблица №10'!C323</f>
        <v>1400</v>
      </c>
      <c r="C322" s="88"/>
      <c r="D322" s="88"/>
      <c r="E322" s="88"/>
      <c r="F322" s="73">
        <f>'Таблица №10'!G323</f>
        <v>0</v>
      </c>
      <c r="G322" s="73">
        <f>'Таблица №10'!H323</f>
        <v>15643.5</v>
      </c>
      <c r="H322" s="73">
        <f>'Таблица №10'!I323</f>
        <v>0</v>
      </c>
      <c r="I322" s="73">
        <f>'Таблица №10'!J323</f>
        <v>15643.5</v>
      </c>
      <c r="J322" s="73">
        <f>'Таблица №10'!K323</f>
        <v>15643.5</v>
      </c>
    </row>
    <row r="323" spans="1:10" ht="18.75" customHeight="1" outlineLevel="5">
      <c r="A323" s="52" t="str">
        <f>'Таблица №10'!A324</f>
        <v>Прочие межбюджетные трансферты общего характера</v>
      </c>
      <c r="B323" s="88" t="str">
        <f>'Таблица №10'!C324</f>
        <v>1403</v>
      </c>
      <c r="C323" s="88"/>
      <c r="D323" s="88"/>
      <c r="E323" s="88"/>
      <c r="F323" s="73">
        <f>'Таблица №10'!G324</f>
        <v>0</v>
      </c>
      <c r="G323" s="73">
        <f>'Таблица №10'!H324</f>
        <v>15643.5</v>
      </c>
      <c r="H323" s="73">
        <f>'Таблица №10'!I324</f>
        <v>0</v>
      </c>
      <c r="I323" s="73">
        <f>'Таблица №10'!J324</f>
        <v>15643.5</v>
      </c>
      <c r="J323" s="73">
        <f>'Таблица №10'!K324</f>
        <v>15643.5</v>
      </c>
    </row>
    <row r="324" spans="1:10" ht="17.25" customHeight="1" outlineLevel="5">
      <c r="A324" s="52" t="str">
        <f>'Таблица №10'!A325</f>
        <v>Непрограммные расходы органов местного самоуправления Алексеевского муниципального района</v>
      </c>
      <c r="B324" s="88" t="str">
        <f>'Таблица №10'!C325</f>
        <v>1403</v>
      </c>
      <c r="C324" s="88" t="str">
        <f>'Таблица №10'!D325</f>
        <v>99</v>
      </c>
      <c r="D324" s="88">
        <f>'Таблица №10'!E325</f>
        <v>0</v>
      </c>
      <c r="E324" s="88"/>
      <c r="F324" s="73">
        <f>'Таблица №10'!G325</f>
        <v>0</v>
      </c>
      <c r="G324" s="73">
        <f>'Таблица №10'!H325</f>
        <v>15643.5</v>
      </c>
      <c r="H324" s="73">
        <f>'Таблица №10'!I325</f>
        <v>0</v>
      </c>
      <c r="I324" s="73">
        <f>'Таблица №10'!J325</f>
        <v>15643.5</v>
      </c>
      <c r="J324" s="73">
        <f>'Таблица №10'!K325</f>
        <v>15643.5</v>
      </c>
    </row>
    <row r="325" spans="1:10" ht="12.75">
      <c r="A325" s="52" t="str">
        <f>'Таблица №10'!A326</f>
        <v>Межбюджетные трансферты</v>
      </c>
      <c r="B325" s="88" t="str">
        <f>'Таблица №10'!C326</f>
        <v>1403</v>
      </c>
      <c r="C325" s="88" t="str">
        <f>'Таблица №10'!D326</f>
        <v>99</v>
      </c>
      <c r="D325" s="88">
        <f>'Таблица №10'!E326</f>
        <v>0</v>
      </c>
      <c r="E325" s="88">
        <f>'Таблица №10'!F326</f>
        <v>500</v>
      </c>
      <c r="F325" s="73">
        <f>'Таблица №10'!G326</f>
        <v>0</v>
      </c>
      <c r="G325" s="73">
        <f>'Таблица №10'!H326</f>
        <v>15643.5</v>
      </c>
      <c r="H325" s="73">
        <f>'Таблица №10'!I326</f>
        <v>0</v>
      </c>
      <c r="I325" s="73">
        <f>'Таблица №10'!J326</f>
        <v>15643.5</v>
      </c>
      <c r="J325" s="73">
        <f>'Таблица №10'!K326</f>
        <v>15643.5</v>
      </c>
    </row>
    <row r="326" spans="1:10" ht="12.75">
      <c r="A326" s="52" t="str">
        <f>'Таблица №10'!A327</f>
        <v>Всего </v>
      </c>
      <c r="B326" s="88"/>
      <c r="C326" s="88"/>
      <c r="D326" s="88"/>
      <c r="E326" s="88"/>
      <c r="F326" s="73">
        <f>'Таблица №10'!G327</f>
        <v>44715.899999999994</v>
      </c>
      <c r="G326" s="73">
        <f>'Таблица №10'!H327</f>
        <v>516318.50399999996</v>
      </c>
      <c r="H326" s="73">
        <f>'Таблица №10'!I327</f>
        <v>32684.6</v>
      </c>
      <c r="I326" s="73">
        <f>'Таблица №10'!J327</f>
        <v>380849.1</v>
      </c>
      <c r="J326" s="73">
        <f>'Таблица №10'!K327</f>
        <v>369719.3</v>
      </c>
    </row>
    <row r="327" spans="1:6" ht="12.75">
      <c r="A327" s="2"/>
      <c r="B327" s="2"/>
      <c r="C327" s="2"/>
      <c r="D327" s="2"/>
      <c r="E327" s="2"/>
      <c r="F327" s="39"/>
    </row>
  </sheetData>
  <sheetProtection/>
  <mergeCells count="6">
    <mergeCell ref="F8:I8"/>
    <mergeCell ref="A6:I6"/>
    <mergeCell ref="F1:J1"/>
    <mergeCell ref="B2:J2"/>
    <mergeCell ref="E3:J3"/>
    <mergeCell ref="A4:J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0"/>
  <sheetViews>
    <sheetView zoomScale="110" zoomScaleNormal="110" zoomScalePageLayoutView="0" workbookViewId="0" topLeftCell="A47">
      <selection activeCell="D71" sqref="D71"/>
    </sheetView>
  </sheetViews>
  <sheetFormatPr defaultColWidth="9.140625" defaultRowHeight="12.75"/>
  <cols>
    <col min="1" max="1" width="5.7109375" style="21" customWidth="1"/>
    <col min="2" max="2" width="49.57421875" style="21" customWidth="1"/>
    <col min="3" max="3" width="12.28125" style="21" hidden="1" customWidth="1"/>
    <col min="4" max="4" width="11.28125" style="21" customWidth="1"/>
    <col min="5" max="5" width="11.57421875" style="21" hidden="1" customWidth="1"/>
    <col min="6" max="6" width="11.8515625" style="21" customWidth="1"/>
    <col min="7" max="7" width="10.8515625" style="21" bestFit="1" customWidth="1"/>
    <col min="8" max="16384" width="9.140625" style="21" customWidth="1"/>
  </cols>
  <sheetData>
    <row r="1" spans="1:7" ht="16.5">
      <c r="A1" s="19" t="s">
        <v>124</v>
      </c>
      <c r="B1" s="20"/>
      <c r="C1" s="125" t="s">
        <v>232</v>
      </c>
      <c r="D1" s="125"/>
      <c r="E1" s="125"/>
      <c r="F1" s="125"/>
      <c r="G1" s="125"/>
    </row>
    <row r="2" spans="1:7" ht="16.5">
      <c r="A2" s="19"/>
      <c r="B2" s="20"/>
      <c r="C2" s="125" t="s">
        <v>125</v>
      </c>
      <c r="D2" s="125"/>
      <c r="E2" s="125"/>
      <c r="F2" s="125"/>
      <c r="G2" s="125"/>
    </row>
    <row r="3" spans="1:7" ht="16.5">
      <c r="A3" s="19"/>
      <c r="B3" s="20"/>
      <c r="C3" s="125" t="s">
        <v>126</v>
      </c>
      <c r="D3" s="125"/>
      <c r="E3" s="125"/>
      <c r="F3" s="125"/>
      <c r="G3" s="125"/>
    </row>
    <row r="4" spans="1:7" ht="16.5">
      <c r="A4" s="19"/>
      <c r="B4" s="20"/>
      <c r="C4" s="125" t="s">
        <v>157</v>
      </c>
      <c r="D4" s="125"/>
      <c r="E4" s="125"/>
      <c r="F4" s="125"/>
      <c r="G4" s="125"/>
    </row>
    <row r="5" spans="1:6" ht="59.25" customHeight="1">
      <c r="A5" s="124" t="s">
        <v>338</v>
      </c>
      <c r="B5" s="124"/>
      <c r="C5" s="124"/>
      <c r="D5" s="124"/>
      <c r="E5" s="124"/>
      <c r="F5" s="124"/>
    </row>
    <row r="6" spans="1:7" ht="16.5">
      <c r="A6" s="22" t="s">
        <v>127</v>
      </c>
      <c r="B6" s="20"/>
      <c r="C6" s="123"/>
      <c r="D6" s="123"/>
      <c r="E6" s="123"/>
      <c r="F6" s="123"/>
      <c r="G6" s="96" t="s">
        <v>313</v>
      </c>
    </row>
    <row r="7" spans="1:7" ht="22.5">
      <c r="A7" s="45" t="s">
        <v>128</v>
      </c>
      <c r="B7" s="45" t="s">
        <v>129</v>
      </c>
      <c r="C7" s="54" t="s">
        <v>294</v>
      </c>
      <c r="D7" s="37" t="s">
        <v>256</v>
      </c>
      <c r="E7" s="54" t="s">
        <v>336</v>
      </c>
      <c r="F7" s="37" t="s">
        <v>293</v>
      </c>
      <c r="G7" s="37" t="s">
        <v>333</v>
      </c>
    </row>
    <row r="8" spans="1:7" ht="16.5" customHeight="1">
      <c r="A8" s="91" t="s">
        <v>41</v>
      </c>
      <c r="B8" s="92" t="s">
        <v>130</v>
      </c>
      <c r="C8" s="93">
        <f>SUM(C9:C17)</f>
        <v>3966.4219400000006</v>
      </c>
      <c r="D8" s="93">
        <f>SUM(D9:D17)</f>
        <v>63214.42194</v>
      </c>
      <c r="E8" s="93">
        <f>SUM(E9:E17)</f>
        <v>11387.489000000001</v>
      </c>
      <c r="F8" s="93">
        <f>SUM(F9:F17)</f>
        <v>71035.98900000002</v>
      </c>
      <c r="G8" s="93">
        <f>SUM(G9:G17)</f>
        <v>75788.389</v>
      </c>
    </row>
    <row r="9" spans="1:7" ht="29.25" customHeight="1">
      <c r="A9" s="50" t="s">
        <v>42</v>
      </c>
      <c r="B9" s="48" t="s">
        <v>131</v>
      </c>
      <c r="C9" s="49">
        <f>SUM('Таблица №8'!F11)</f>
        <v>0</v>
      </c>
      <c r="D9" s="49">
        <f>SUM('Таблица №8'!G11)</f>
        <v>1710</v>
      </c>
      <c r="E9" s="49">
        <f>SUM('Таблица №8'!H11)</f>
        <v>0</v>
      </c>
      <c r="F9" s="49">
        <f>SUM('Таблица №8'!I11)</f>
        <v>1710</v>
      </c>
      <c r="G9" s="49">
        <f>SUM('Таблица №8'!J11)</f>
        <v>1710</v>
      </c>
    </row>
    <row r="10" spans="1:7" ht="28.5" customHeight="1">
      <c r="A10" s="50" t="s">
        <v>28</v>
      </c>
      <c r="B10" s="48" t="s">
        <v>132</v>
      </c>
      <c r="C10" s="49">
        <f>SUM('Таблица №8'!F14)</f>
        <v>-8</v>
      </c>
      <c r="D10" s="49">
        <f>SUM('Таблица №8'!G14)</f>
        <v>450</v>
      </c>
      <c r="E10" s="49">
        <f>SUM('Таблица №8'!H14)</f>
        <v>-8</v>
      </c>
      <c r="F10" s="49">
        <f>SUM('Таблица №8'!I14)</f>
        <v>450</v>
      </c>
      <c r="G10" s="49">
        <f>SUM('Таблица №8'!J14)</f>
        <v>450</v>
      </c>
    </row>
    <row r="11" spans="1:7" ht="19.5" customHeight="1">
      <c r="A11" s="50" t="s">
        <v>40</v>
      </c>
      <c r="B11" s="48" t="s">
        <v>133</v>
      </c>
      <c r="C11" s="49">
        <f>SUM('Таблица №8'!F20)</f>
        <v>-10.900000000000034</v>
      </c>
      <c r="D11" s="49">
        <f>SUM('Таблица №8'!G20)</f>
        <v>29631.3</v>
      </c>
      <c r="E11" s="49">
        <f>SUM('Таблица №8'!H20)</f>
        <v>1995.3000000000002</v>
      </c>
      <c r="F11" s="49">
        <f>SUM('Таблица №8'!I20)</f>
        <v>29594.6</v>
      </c>
      <c r="G11" s="49">
        <f>SUM('Таблица №8'!J20)</f>
        <v>29605.8</v>
      </c>
    </row>
    <row r="12" spans="1:7" ht="15" customHeight="1">
      <c r="A12" s="50" t="s">
        <v>43</v>
      </c>
      <c r="B12" s="48" t="s">
        <v>35</v>
      </c>
      <c r="C12" s="49">
        <f>SUM('Таблица №10'!G51)</f>
        <v>3.4</v>
      </c>
      <c r="D12" s="49">
        <f>SUM('Таблица №10'!H51)</f>
        <v>3.4</v>
      </c>
      <c r="E12" s="49">
        <f>SUM('Таблица №10'!I51)</f>
        <v>29.2</v>
      </c>
      <c r="F12" s="49">
        <f>SUM('Таблица №10'!J51)</f>
        <v>29.2</v>
      </c>
      <c r="G12" s="49">
        <f>SUM('Таблица №10'!K51)</f>
        <v>1.8</v>
      </c>
    </row>
    <row r="13" spans="1:7" ht="42.75" customHeight="1">
      <c r="A13" s="50" t="s">
        <v>31</v>
      </c>
      <c r="B13" s="48" t="s">
        <v>134</v>
      </c>
      <c r="C13" s="49">
        <f>SUM('Таблица №8'!F44)</f>
        <v>-69.4</v>
      </c>
      <c r="D13" s="49">
        <f>SUM('Таблица №8'!G44)</f>
        <v>1330.6</v>
      </c>
      <c r="E13" s="49">
        <f>SUM('Таблица №8'!H44)</f>
        <v>-69.4</v>
      </c>
      <c r="F13" s="49">
        <f>SUM('Таблица №8'!I44)</f>
        <v>1330.6</v>
      </c>
      <c r="G13" s="49">
        <f>SUM('Таблица №8'!J44)</f>
        <v>1330.6</v>
      </c>
    </row>
    <row r="14" spans="1:7" ht="16.5" customHeight="1">
      <c r="A14" s="50" t="s">
        <v>44</v>
      </c>
      <c r="B14" s="48" t="s">
        <v>36</v>
      </c>
      <c r="C14" s="49">
        <f>SUM('Таблица №8'!F51)</f>
        <v>0</v>
      </c>
      <c r="D14" s="49">
        <f>SUM('Таблица №8'!G51)</f>
        <v>0</v>
      </c>
      <c r="E14" s="49">
        <f>SUM('Таблица №8'!H51)</f>
        <v>0</v>
      </c>
      <c r="F14" s="49">
        <f>SUM('Таблица №8'!I51)</f>
        <v>0</v>
      </c>
      <c r="G14" s="49">
        <f>SUM('Таблица №8'!J51)</f>
        <v>0</v>
      </c>
    </row>
    <row r="15" spans="1:7" ht="16.5" customHeight="1">
      <c r="A15" s="50" t="s">
        <v>45</v>
      </c>
      <c r="B15" s="48" t="s">
        <v>135</v>
      </c>
      <c r="C15" s="49">
        <f>SUM('Таблица №8'!F55)</f>
        <v>0</v>
      </c>
      <c r="D15" s="49">
        <f>SUM('Таблица №8'!G55)</f>
        <v>320</v>
      </c>
      <c r="E15" s="49">
        <f>SUM('Таблица №8'!H55)</f>
        <v>0</v>
      </c>
      <c r="F15" s="49">
        <f>SUM('Таблица №8'!I55)</f>
        <v>320</v>
      </c>
      <c r="G15" s="49">
        <f>SUM('Таблица №8'!J55)</f>
        <v>320</v>
      </c>
    </row>
    <row r="16" spans="1:7" ht="16.5" customHeight="1">
      <c r="A16" s="50" t="s">
        <v>29</v>
      </c>
      <c r="B16" s="48" t="s">
        <v>46</v>
      </c>
      <c r="C16" s="49">
        <f>SUM('Таблица №8'!F57)-C17</f>
        <v>7019.42194</v>
      </c>
      <c r="D16" s="49">
        <f>SUM('Таблица №8'!G57)-D17</f>
        <v>29769.121939999997</v>
      </c>
      <c r="E16" s="49">
        <f>SUM('Таблица №8'!H57)-E17</f>
        <v>11743.289</v>
      </c>
      <c r="F16" s="49">
        <f>SUM('Таблица №8'!I57)-F17</f>
        <v>33976.289000000004</v>
      </c>
      <c r="G16" s="49">
        <f>SUM('Таблица №8'!J57)-G17</f>
        <v>34978.189</v>
      </c>
    </row>
    <row r="17" spans="1:7" ht="16.5" customHeight="1">
      <c r="A17" s="50" t="s">
        <v>29</v>
      </c>
      <c r="B17" s="48" t="s">
        <v>47</v>
      </c>
      <c r="C17" s="49">
        <f>SUM('Таблица №8'!F91)</f>
        <v>-2968.1</v>
      </c>
      <c r="D17" s="49">
        <f>SUM('Таблица №8'!G91)</f>
        <v>0</v>
      </c>
      <c r="E17" s="49">
        <f>SUM('Таблица №8'!H91)</f>
        <v>-2302.9</v>
      </c>
      <c r="F17" s="49">
        <f>SUM('Таблица №8'!I91)</f>
        <v>3625.3</v>
      </c>
      <c r="G17" s="49">
        <f>SUM('Таблица №8'!J91)</f>
        <v>7392</v>
      </c>
    </row>
    <row r="18" spans="1:7" ht="16.5" customHeight="1">
      <c r="A18" s="91" t="s">
        <v>115</v>
      </c>
      <c r="B18" s="92" t="s">
        <v>136</v>
      </c>
      <c r="C18" s="93">
        <f>SUM(C19)</f>
        <v>300</v>
      </c>
      <c r="D18" s="93">
        <f>SUM(D19)</f>
        <v>320</v>
      </c>
      <c r="E18" s="93">
        <f>SUM(E19)</f>
        <v>0</v>
      </c>
      <c r="F18" s="93">
        <f>SUM(F19)</f>
        <v>20</v>
      </c>
      <c r="G18" s="93">
        <f>SUM(G19)</f>
        <v>20</v>
      </c>
    </row>
    <row r="19" spans="1:7" ht="16.5" customHeight="1">
      <c r="A19" s="50" t="s">
        <v>50</v>
      </c>
      <c r="B19" s="48" t="s">
        <v>49</v>
      </c>
      <c r="C19" s="49">
        <f>SUM('Таблица №8'!F92)</f>
        <v>300</v>
      </c>
      <c r="D19" s="49">
        <f>SUM('Таблица №8'!G92)</f>
        <v>320</v>
      </c>
      <c r="E19" s="49">
        <f>SUM('Таблица №8'!H92)</f>
        <v>0</v>
      </c>
      <c r="F19" s="49">
        <f>SUM('Таблица №8'!I92)</f>
        <v>20</v>
      </c>
      <c r="G19" s="49">
        <f>SUM('Таблица №8'!J92)</f>
        <v>20</v>
      </c>
    </row>
    <row r="20" spans="1:7" ht="27.75" customHeight="1">
      <c r="A20" s="91" t="s">
        <v>116</v>
      </c>
      <c r="B20" s="92" t="s">
        <v>120</v>
      </c>
      <c r="C20" s="93">
        <f>SUM(C21:C22)</f>
        <v>0</v>
      </c>
      <c r="D20" s="93">
        <f>SUM(D21:D22)</f>
        <v>70</v>
      </c>
      <c r="E20" s="93">
        <f>SUM(E21:E22)</f>
        <v>0</v>
      </c>
      <c r="F20" s="93">
        <f>SUM(F21:F22)</f>
        <v>70</v>
      </c>
      <c r="G20" s="93">
        <f>SUM(G21:G22)</f>
        <v>70</v>
      </c>
    </row>
    <row r="21" spans="1:7" ht="16.5" customHeight="1">
      <c r="A21" s="50" t="s">
        <v>51</v>
      </c>
      <c r="B21" s="48" t="s">
        <v>348</v>
      </c>
      <c r="C21" s="49">
        <f>SUM('Таблица №8'!F98)</f>
        <v>0</v>
      </c>
      <c r="D21" s="49">
        <f>SUM('Таблица №8'!G98)</f>
        <v>20</v>
      </c>
      <c r="E21" s="49">
        <f>SUM('Таблица №8'!H98)</f>
        <v>0</v>
      </c>
      <c r="F21" s="49">
        <f>SUM('Таблица №8'!I98)</f>
        <v>20</v>
      </c>
      <c r="G21" s="49">
        <f>SUM('Таблица №8'!J98)</f>
        <v>20</v>
      </c>
    </row>
    <row r="22" spans="1:7" ht="42.75" customHeight="1">
      <c r="A22" s="50" t="s">
        <v>347</v>
      </c>
      <c r="B22" s="48" t="s">
        <v>346</v>
      </c>
      <c r="C22" s="49">
        <f>SUM('Таблица №8'!F101)</f>
        <v>0</v>
      </c>
      <c r="D22" s="49">
        <f>SUM('Таблица №8'!G101)</f>
        <v>50</v>
      </c>
      <c r="E22" s="49">
        <f>SUM('Таблица №8'!H101)</f>
        <v>0</v>
      </c>
      <c r="F22" s="49">
        <f>SUM('Таблица №8'!I101)</f>
        <v>50</v>
      </c>
      <c r="G22" s="49">
        <f>SUM('Таблица №8'!J101)</f>
        <v>50</v>
      </c>
    </row>
    <row r="23" spans="1:7" ht="15.75" customHeight="1">
      <c r="A23" s="91" t="s">
        <v>60</v>
      </c>
      <c r="B23" s="92" t="s">
        <v>121</v>
      </c>
      <c r="C23" s="93">
        <f>SUM(C24:C26)</f>
        <v>5443.700000000001</v>
      </c>
      <c r="D23" s="93">
        <f>SUM(D24:D26)</f>
        <v>24507</v>
      </c>
      <c r="E23" s="93">
        <f>SUM(E24:E26)</f>
        <v>5333.700000000001</v>
      </c>
      <c r="F23" s="93">
        <f>SUM(F24:F26)</f>
        <v>24482.199999999997</v>
      </c>
      <c r="G23" s="93">
        <f>SUM(G24:G26)</f>
        <v>24586.3</v>
      </c>
    </row>
    <row r="24" spans="1:7" ht="15.75" customHeight="1">
      <c r="A24" s="50" t="s">
        <v>151</v>
      </c>
      <c r="B24" s="48" t="s">
        <v>150</v>
      </c>
      <c r="C24" s="49">
        <f>SUM('Таблица №8'!F108)</f>
        <v>139.6</v>
      </c>
      <c r="D24" s="49">
        <f>SUM('Таблица №8'!G108)</f>
        <v>139.6</v>
      </c>
      <c r="E24" s="49">
        <f>SUM('Таблица №8'!H108)</f>
        <v>139.6</v>
      </c>
      <c r="F24" s="49">
        <f>SUM('Таблица №8'!I108)</f>
        <v>139.6</v>
      </c>
      <c r="G24" s="49">
        <f>SUM('Таблица №8'!J108)</f>
        <v>139.6</v>
      </c>
    </row>
    <row r="25" spans="1:7" ht="15.75" customHeight="1">
      <c r="A25" s="50" t="s">
        <v>52</v>
      </c>
      <c r="B25" s="48" t="s">
        <v>122</v>
      </c>
      <c r="C25" s="49">
        <f>SUM('Таблица №8'!F112)</f>
        <v>5304.1</v>
      </c>
      <c r="D25" s="49">
        <f>SUM('Таблица №8'!G112)</f>
        <v>23742.4</v>
      </c>
      <c r="E25" s="49">
        <f>SUM('Таблица №8'!H112)</f>
        <v>5194.1</v>
      </c>
      <c r="F25" s="49">
        <f>SUM('Таблица №8'!I112)</f>
        <v>24242.6</v>
      </c>
      <c r="G25" s="49">
        <f>SUM('Таблица №8'!J112)</f>
        <v>24346.7</v>
      </c>
    </row>
    <row r="26" spans="1:7" ht="15.75" customHeight="1">
      <c r="A26" s="50" t="s">
        <v>53</v>
      </c>
      <c r="B26" s="48" t="s">
        <v>123</v>
      </c>
      <c r="C26" s="49">
        <f>SUM('Таблица №8'!F120)</f>
        <v>0</v>
      </c>
      <c r="D26" s="49">
        <f>SUM('Таблица №8'!G120)</f>
        <v>625</v>
      </c>
      <c r="E26" s="49">
        <f>SUM('Таблица №8'!H120)</f>
        <v>0</v>
      </c>
      <c r="F26" s="49">
        <f>SUM('Таблица №8'!I120)</f>
        <v>100</v>
      </c>
      <c r="G26" s="49">
        <f>SUM('Таблица №8'!J120)</f>
        <v>100</v>
      </c>
    </row>
    <row r="27" spans="1:7" ht="15.75" customHeight="1">
      <c r="A27" s="91" t="s">
        <v>56</v>
      </c>
      <c r="B27" s="92" t="s">
        <v>137</v>
      </c>
      <c r="C27" s="93">
        <f>SUM(C28:C29)</f>
        <v>8700.646</v>
      </c>
      <c r="D27" s="93">
        <f>SUM(D28:D29)</f>
        <v>129398.85</v>
      </c>
      <c r="E27" s="93">
        <f>SUM(E28:E29)</f>
        <v>4421.1</v>
      </c>
      <c r="F27" s="93">
        <f>SUM(F28:F29)</f>
        <v>4448</v>
      </c>
      <c r="G27" s="93">
        <f>SUM(G28:G29)</f>
        <v>4448</v>
      </c>
    </row>
    <row r="28" spans="1:7" ht="14.25" customHeight="1">
      <c r="A28" s="50" t="s">
        <v>57</v>
      </c>
      <c r="B28" s="48" t="s">
        <v>54</v>
      </c>
      <c r="C28" s="49">
        <f>SUM('Таблица №8'!F131)</f>
        <v>8700.646</v>
      </c>
      <c r="D28" s="49">
        <f>SUM('Таблица №8'!G131)</f>
        <v>129398.85</v>
      </c>
      <c r="E28" s="49">
        <f>SUM('Таблица №8'!H131)</f>
        <v>4421.1</v>
      </c>
      <c r="F28" s="49">
        <f>SUM('Таблица №8'!I131)</f>
        <v>4448</v>
      </c>
      <c r="G28" s="49">
        <f>SUM('Таблица №8'!J131)</f>
        <v>4448</v>
      </c>
    </row>
    <row r="29" spans="1:7" ht="15" customHeight="1" hidden="1">
      <c r="A29" s="50" t="s">
        <v>138</v>
      </c>
      <c r="B29" s="48" t="s">
        <v>139</v>
      </c>
      <c r="C29" s="49">
        <f>SUM('Таблица №8'!F146)</f>
        <v>0</v>
      </c>
      <c r="D29" s="49">
        <f>SUM('Таблица №8'!G146)</f>
        <v>0</v>
      </c>
      <c r="E29" s="49">
        <f>SUM('Таблица №8'!H146)</f>
        <v>0</v>
      </c>
      <c r="F29" s="49">
        <f>SUM('Таблица №8'!I146)</f>
        <v>0</v>
      </c>
      <c r="G29" s="49">
        <f>SUM('Таблица №8'!J146)</f>
        <v>0</v>
      </c>
    </row>
    <row r="30" spans="1:7" ht="15.75" customHeight="1">
      <c r="A30" s="91" t="s">
        <v>117</v>
      </c>
      <c r="B30" s="92" t="s">
        <v>58</v>
      </c>
      <c r="C30" s="93">
        <f>SUM(C31)</f>
        <v>-30</v>
      </c>
      <c r="D30" s="93">
        <f>SUM(D31)</f>
        <v>20</v>
      </c>
      <c r="E30" s="93">
        <f>SUM(E31)</f>
        <v>-30</v>
      </c>
      <c r="F30" s="93">
        <f>SUM(F31)</f>
        <v>20</v>
      </c>
      <c r="G30" s="93">
        <f>SUM(G31)</f>
        <v>20</v>
      </c>
    </row>
    <row r="31" spans="1:7" ht="15.75" customHeight="1">
      <c r="A31" s="50" t="s">
        <v>61</v>
      </c>
      <c r="B31" s="48" t="s">
        <v>59</v>
      </c>
      <c r="C31" s="49">
        <f>SUM('Таблица №8'!F147)</f>
        <v>-30</v>
      </c>
      <c r="D31" s="49">
        <f>SUM('Таблица №8'!G147)</f>
        <v>20</v>
      </c>
      <c r="E31" s="49">
        <f>SUM('Таблица №8'!H147)</f>
        <v>-30</v>
      </c>
      <c r="F31" s="49">
        <f>SUM('Таблица №8'!I147)</f>
        <v>20</v>
      </c>
      <c r="G31" s="49">
        <f>SUM('Таблица №8'!J147)</f>
        <v>20</v>
      </c>
    </row>
    <row r="32" spans="1:7" ht="18" customHeight="1">
      <c r="A32" s="91" t="s">
        <v>65</v>
      </c>
      <c r="B32" s="92" t="s">
        <v>62</v>
      </c>
      <c r="C32" s="93">
        <f>SUM(C33:C37)</f>
        <v>26215.23206</v>
      </c>
      <c r="D32" s="93">
        <f>SUM(D33:D37)</f>
        <v>238832.63206000003</v>
      </c>
      <c r="E32" s="93">
        <f>SUM(E33:E37)</f>
        <v>12499.710999999998</v>
      </c>
      <c r="F32" s="93">
        <f>SUM(F33:F37)</f>
        <v>221622.71099999998</v>
      </c>
      <c r="G32" s="93">
        <f>SUM(G33:G37)</f>
        <v>205512.51100000003</v>
      </c>
    </row>
    <row r="33" spans="1:7" ht="18" customHeight="1">
      <c r="A33" s="50" t="s">
        <v>64</v>
      </c>
      <c r="B33" s="48" t="s">
        <v>63</v>
      </c>
      <c r="C33" s="49">
        <f>SUM('Таблица №8'!F152)</f>
        <v>892.9290000000001</v>
      </c>
      <c r="D33" s="49">
        <f>SUM('Таблица №8'!G152)</f>
        <v>37951.829</v>
      </c>
      <c r="E33" s="49">
        <f>SUM('Таблица №8'!H152)</f>
        <v>-2408.6710000000003</v>
      </c>
      <c r="F33" s="49">
        <f>SUM('Таблица №8'!I152)</f>
        <v>34370.229</v>
      </c>
      <c r="G33" s="49">
        <f>SUM('Таблица №8'!J152)</f>
        <v>35368.528999999995</v>
      </c>
    </row>
    <row r="34" spans="1:7" ht="18" customHeight="1">
      <c r="A34" s="50" t="s">
        <v>66</v>
      </c>
      <c r="B34" s="48" t="s">
        <v>71</v>
      </c>
      <c r="C34" s="49">
        <f>SUM('Таблица №8'!F174)</f>
        <v>22420.70306</v>
      </c>
      <c r="D34" s="49">
        <f>SUM('Таблица №8'!G174)</f>
        <v>183380.90306000004</v>
      </c>
      <c r="E34" s="49">
        <f>SUM('Таблица №8'!H174)</f>
        <v>12194.881999999998</v>
      </c>
      <c r="F34" s="49">
        <f>SUM('Таблица №8'!I174)</f>
        <v>169940.682</v>
      </c>
      <c r="G34" s="49">
        <f>SUM('Таблица №8'!J174)</f>
        <v>152873.08200000002</v>
      </c>
    </row>
    <row r="35" spans="1:7" ht="18" customHeight="1">
      <c r="A35" s="50" t="s">
        <v>215</v>
      </c>
      <c r="B35" s="48" t="s">
        <v>214</v>
      </c>
      <c r="C35" s="49">
        <f>SUM('Таблица №8'!F214)</f>
        <v>1500</v>
      </c>
      <c r="D35" s="49">
        <f>SUM('Таблица №8'!G214)</f>
        <v>9900</v>
      </c>
      <c r="E35" s="49">
        <f>SUM('Таблица №8'!H214)</f>
        <v>1500</v>
      </c>
      <c r="F35" s="49">
        <f>SUM('Таблица №8'!I214)</f>
        <v>9900</v>
      </c>
      <c r="G35" s="49">
        <f>SUM('Таблица №8'!J214)</f>
        <v>9900</v>
      </c>
    </row>
    <row r="36" spans="1:7" ht="18" customHeight="1">
      <c r="A36" s="50" t="s">
        <v>72</v>
      </c>
      <c r="B36" s="48" t="s">
        <v>73</v>
      </c>
      <c r="C36" s="49">
        <f>SUM('Таблица №8'!F222)</f>
        <v>1401.6</v>
      </c>
      <c r="D36" s="49">
        <f>SUM('Таблица №8'!G222)</f>
        <v>6284.9</v>
      </c>
      <c r="E36" s="49">
        <f>SUM('Таблица №8'!H222)</f>
        <v>1213.5</v>
      </c>
      <c r="F36" s="49">
        <f>SUM('Таблица №8'!I222)</f>
        <v>6096.8</v>
      </c>
      <c r="G36" s="49">
        <f>SUM('Таблица №8'!J222)</f>
        <v>6055.9</v>
      </c>
    </row>
    <row r="37" spans="1:7" ht="18" customHeight="1">
      <c r="A37" s="50" t="s">
        <v>75</v>
      </c>
      <c r="B37" s="48" t="s">
        <v>74</v>
      </c>
      <c r="C37" s="49">
        <f>SUM('Таблица №8'!F238)</f>
        <v>0</v>
      </c>
      <c r="D37" s="49">
        <f>SUM('Таблица №8'!G238)</f>
        <v>1315</v>
      </c>
      <c r="E37" s="49">
        <f>SUM('Таблица №8'!H238)</f>
        <v>0</v>
      </c>
      <c r="F37" s="49">
        <f>SUM('Таблица №8'!I238)</f>
        <v>1315</v>
      </c>
      <c r="G37" s="49">
        <f>SUM('Таблица №8'!J238)</f>
        <v>1315</v>
      </c>
    </row>
    <row r="38" spans="1:7" ht="18" customHeight="1">
      <c r="A38" s="91" t="s">
        <v>118</v>
      </c>
      <c r="B38" s="92" t="s">
        <v>140</v>
      </c>
      <c r="C38" s="93">
        <f>SUM(C39:C41)</f>
        <v>2950</v>
      </c>
      <c r="D38" s="93">
        <f>SUM(D39:D41)</f>
        <v>13400</v>
      </c>
      <c r="E38" s="93">
        <f>SUM(E39:E41)</f>
        <v>2950</v>
      </c>
      <c r="F38" s="93">
        <f>SUM(F39:F41)</f>
        <v>13400</v>
      </c>
      <c r="G38" s="93">
        <f>SUM(G39:G41)</f>
        <v>13400</v>
      </c>
    </row>
    <row r="39" spans="1:7" ht="18" customHeight="1">
      <c r="A39" s="50" t="s">
        <v>82</v>
      </c>
      <c r="B39" s="48" t="s">
        <v>119</v>
      </c>
      <c r="C39" s="49">
        <f>SUM('Таблица №8'!F246)</f>
        <v>2396</v>
      </c>
      <c r="D39" s="49">
        <f>SUM('Таблица №8'!G246)</f>
        <v>11691</v>
      </c>
      <c r="E39" s="49">
        <f>SUM('Таблица №8'!H246)</f>
        <v>2396</v>
      </c>
      <c r="F39" s="49">
        <f>SUM('Таблица №8'!I246)</f>
        <v>11691</v>
      </c>
      <c r="G39" s="49">
        <f>SUM('Таблица №8'!J246)</f>
        <v>11691</v>
      </c>
    </row>
    <row r="40" spans="1:7" ht="18" customHeight="1">
      <c r="A40" s="50" t="s">
        <v>83</v>
      </c>
      <c r="B40" s="48" t="s">
        <v>80</v>
      </c>
      <c r="C40" s="49">
        <f>SUM('Таблица №8'!F263)</f>
        <v>-42</v>
      </c>
      <c r="D40" s="49">
        <f>SUM('Таблица №8'!G263)</f>
        <v>267</v>
      </c>
      <c r="E40" s="49">
        <f>SUM('Таблица №8'!H263)</f>
        <v>-42</v>
      </c>
      <c r="F40" s="49">
        <f>SUM('Таблица №8'!I263)</f>
        <v>267</v>
      </c>
      <c r="G40" s="49">
        <f>SUM('Таблица №8'!J263)</f>
        <v>267</v>
      </c>
    </row>
    <row r="41" spans="1:7" ht="21" customHeight="1">
      <c r="A41" s="50" t="s">
        <v>84</v>
      </c>
      <c r="B41" s="48" t="s">
        <v>81</v>
      </c>
      <c r="C41" s="49">
        <f>SUM('Таблица №8'!F265)</f>
        <v>596</v>
      </c>
      <c r="D41" s="49">
        <f>SUM('Таблица №8'!G265)</f>
        <v>1442</v>
      </c>
      <c r="E41" s="49">
        <f>SUM('Таблица №8'!H265)</f>
        <v>596</v>
      </c>
      <c r="F41" s="49">
        <f>SUM('Таблица №8'!I265)</f>
        <v>1442</v>
      </c>
      <c r="G41" s="49">
        <f>SUM('Таблица №8'!J265)</f>
        <v>1442</v>
      </c>
    </row>
    <row r="42" spans="1:7" ht="18" customHeight="1">
      <c r="A42" s="91" t="s">
        <v>218</v>
      </c>
      <c r="B42" s="92" t="s">
        <v>217</v>
      </c>
      <c r="C42" s="93">
        <f>SUM(C43)</f>
        <v>0</v>
      </c>
      <c r="D42" s="93">
        <f>SUM(D43)</f>
        <v>0</v>
      </c>
      <c r="E42" s="93">
        <f>SUM(E43)</f>
        <v>0</v>
      </c>
      <c r="F42" s="93">
        <f>SUM(F43)</f>
        <v>0</v>
      </c>
      <c r="G42" s="93">
        <f>SUM(G43)</f>
        <v>0</v>
      </c>
    </row>
    <row r="43" spans="1:7" ht="21" customHeight="1" hidden="1">
      <c r="A43" s="50" t="s">
        <v>220</v>
      </c>
      <c r="B43" s="48" t="s">
        <v>219</v>
      </c>
      <c r="C43" s="49">
        <f>SUM('Таблица №8'!F268)</f>
        <v>0</v>
      </c>
      <c r="D43" s="49">
        <f>SUM('Таблица №8'!G268)</f>
        <v>0</v>
      </c>
      <c r="E43" s="49">
        <f>SUM('Таблица №8'!H268)</f>
        <v>0</v>
      </c>
      <c r="F43" s="49">
        <f>SUM('Таблица №8'!I268)</f>
        <v>0</v>
      </c>
      <c r="G43" s="49">
        <f>SUM('Таблица №8'!J268)</f>
        <v>0</v>
      </c>
    </row>
    <row r="44" spans="1:7" ht="18" customHeight="1">
      <c r="A44" s="91">
        <v>1000</v>
      </c>
      <c r="B44" s="92" t="s">
        <v>85</v>
      </c>
      <c r="C44" s="93">
        <f>SUM(C45:C48)</f>
        <v>-2852.2000000000003</v>
      </c>
      <c r="D44" s="93">
        <f>SUM(D45:D48)</f>
        <v>28140.6</v>
      </c>
      <c r="E44" s="93">
        <f>SUM(E45:E48)</f>
        <v>-3899.5</v>
      </c>
      <c r="F44" s="93">
        <f>SUM(F45:F48)</f>
        <v>27335.199999999997</v>
      </c>
      <c r="G44" s="93">
        <f>SUM(G45:G48)</f>
        <v>27459.100000000002</v>
      </c>
    </row>
    <row r="45" spans="1:7" ht="18" customHeight="1">
      <c r="A45" s="50">
        <v>1001</v>
      </c>
      <c r="B45" s="48" t="s">
        <v>86</v>
      </c>
      <c r="C45" s="49">
        <f>SUM('Таблица №8'!F273)</f>
        <v>0</v>
      </c>
      <c r="D45" s="49">
        <f>SUM('Таблица №8'!G273)</f>
        <v>4000</v>
      </c>
      <c r="E45" s="49">
        <f>SUM('Таблица №8'!H273)</f>
        <v>0</v>
      </c>
      <c r="F45" s="49">
        <f>SUM('Таблица №8'!I273)</f>
        <v>4000</v>
      </c>
      <c r="G45" s="49">
        <f>SUM('Таблица №8'!J273)</f>
        <v>4000</v>
      </c>
    </row>
    <row r="46" spans="1:7" ht="18" customHeight="1">
      <c r="A46" s="50">
        <v>1003</v>
      </c>
      <c r="B46" s="48" t="s">
        <v>89</v>
      </c>
      <c r="C46" s="49">
        <f>SUM('Таблица №8'!F276)</f>
        <v>-2898.4770000000003</v>
      </c>
      <c r="D46" s="49">
        <f>SUM('Таблица №8'!G276)</f>
        <v>14338.312</v>
      </c>
      <c r="E46" s="49">
        <f>SUM('Таблица №8'!H276)</f>
        <v>-3620.1769999999997</v>
      </c>
      <c r="F46" s="49">
        <f>SUM('Таблица №8'!I276)</f>
        <v>13616.612</v>
      </c>
      <c r="G46" s="49">
        <f>SUM('Таблица №8'!J276)</f>
        <v>13715.012</v>
      </c>
    </row>
    <row r="47" spans="1:7" ht="18" customHeight="1">
      <c r="A47" s="50">
        <v>1004</v>
      </c>
      <c r="B47" s="48" t="s">
        <v>141</v>
      </c>
      <c r="C47" s="49">
        <f>SUM('Таблица №8'!F286)</f>
        <v>123.30000000000007</v>
      </c>
      <c r="D47" s="49">
        <f>SUM('Таблица №8'!G286)</f>
        <v>8774.9</v>
      </c>
      <c r="E47" s="49">
        <f>SUM('Таблица №8'!H286)</f>
        <v>-202.30000000000007</v>
      </c>
      <c r="F47" s="49">
        <f>SUM('Таблица №8'!I286)</f>
        <v>8691.199999999999</v>
      </c>
      <c r="G47" s="49">
        <f>SUM('Таблица №8'!J286)</f>
        <v>8716.7</v>
      </c>
    </row>
    <row r="48" spans="1:7" ht="18" customHeight="1">
      <c r="A48" s="50" t="s">
        <v>234</v>
      </c>
      <c r="B48" s="48" t="s">
        <v>235</v>
      </c>
      <c r="C48" s="49">
        <f>SUM('Таблица №8'!F296)</f>
        <v>-77.023</v>
      </c>
      <c r="D48" s="49">
        <f>SUM('Таблица №8'!G296)</f>
        <v>1027.388</v>
      </c>
      <c r="E48" s="49">
        <f>SUM('Таблица №8'!H296)</f>
        <v>-77.023</v>
      </c>
      <c r="F48" s="49">
        <f>SUM('Таблица №8'!I296)</f>
        <v>1027.388</v>
      </c>
      <c r="G48" s="49">
        <f>SUM('Таблица №8'!J296)</f>
        <v>1027.388</v>
      </c>
    </row>
    <row r="49" spans="1:7" ht="17.25" customHeight="1">
      <c r="A49" s="91" t="s">
        <v>142</v>
      </c>
      <c r="B49" s="92" t="s">
        <v>93</v>
      </c>
      <c r="C49" s="93">
        <f>SUM(C50:C52)</f>
        <v>0</v>
      </c>
      <c r="D49" s="93">
        <f>SUM(D50:D52)</f>
        <v>500</v>
      </c>
      <c r="E49" s="93">
        <f>SUM(E50:E52)</f>
        <v>0</v>
      </c>
      <c r="F49" s="93">
        <f>SUM(F50:F52)</f>
        <v>500</v>
      </c>
      <c r="G49" s="93">
        <f>SUM(G50:G52)</f>
        <v>500</v>
      </c>
    </row>
    <row r="50" spans="1:7" ht="18" customHeight="1" hidden="1">
      <c r="A50" s="50" t="s">
        <v>222</v>
      </c>
      <c r="B50" s="48" t="s">
        <v>302</v>
      </c>
      <c r="C50" s="49">
        <f>SUM('Таблица №10'!G303)</f>
        <v>0</v>
      </c>
      <c r="D50" s="49">
        <f>SUM('Таблица №10'!H303)</f>
        <v>0</v>
      </c>
      <c r="E50" s="49">
        <f>SUM('Таблица №10'!I303)</f>
        <v>0</v>
      </c>
      <c r="F50" s="49">
        <f>SUM('Таблица №10'!J303)</f>
        <v>0</v>
      </c>
      <c r="G50" s="49">
        <f>SUM('Таблица №10'!K303)</f>
        <v>0</v>
      </c>
    </row>
    <row r="51" spans="1:7" ht="18" customHeight="1" hidden="1">
      <c r="A51" s="50" t="s">
        <v>295</v>
      </c>
      <c r="B51" s="48" t="s">
        <v>296</v>
      </c>
      <c r="C51" s="49">
        <f>SUM('Таблица №10'!G307)</f>
        <v>0</v>
      </c>
      <c r="D51" s="49">
        <f>SUM('Таблица №10'!H307)</f>
        <v>0</v>
      </c>
      <c r="E51" s="49">
        <f>SUM('Таблица №10'!I307)</f>
        <v>0</v>
      </c>
      <c r="F51" s="49">
        <f>SUM('Таблица №10'!J307)</f>
        <v>0</v>
      </c>
      <c r="G51" s="49">
        <f>SUM('Таблица №10'!K307)</f>
        <v>0</v>
      </c>
    </row>
    <row r="52" spans="1:7" ht="26.25" customHeight="1">
      <c r="A52" s="50" t="s">
        <v>94</v>
      </c>
      <c r="B52" s="48" t="s">
        <v>223</v>
      </c>
      <c r="C52" s="49">
        <f>SUM('Таблица №8'!F310)</f>
        <v>0</v>
      </c>
      <c r="D52" s="49">
        <f>SUM('Таблица №8'!G310)</f>
        <v>500</v>
      </c>
      <c r="E52" s="49">
        <f>SUM('Таблица №8'!H310)</f>
        <v>0</v>
      </c>
      <c r="F52" s="49">
        <f>SUM('Таблица №8'!I310)</f>
        <v>500</v>
      </c>
      <c r="G52" s="49">
        <f>SUM('Таблица №8'!J310)</f>
        <v>500</v>
      </c>
    </row>
    <row r="53" spans="1:7" ht="18" customHeight="1">
      <c r="A53" s="91" t="s">
        <v>143</v>
      </c>
      <c r="B53" s="92" t="s">
        <v>95</v>
      </c>
      <c r="C53" s="93">
        <f>SUM(C54:C55)</f>
        <v>22.1</v>
      </c>
      <c r="D53" s="93">
        <f>SUM(D54:D55)</f>
        <v>2271.5</v>
      </c>
      <c r="E53" s="93">
        <f>SUM(E54:E55)</f>
        <v>22.1</v>
      </c>
      <c r="F53" s="93">
        <f>SUM(F54:F55)</f>
        <v>2271.5</v>
      </c>
      <c r="G53" s="93">
        <f>SUM(G54:G55)</f>
        <v>2271.5</v>
      </c>
    </row>
    <row r="54" spans="1:7" ht="18" customHeight="1" hidden="1">
      <c r="A54" s="50" t="s">
        <v>204</v>
      </c>
      <c r="B54" s="48" t="s">
        <v>203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</row>
    <row r="55" spans="1:7" ht="18" customHeight="1">
      <c r="A55" s="50" t="s">
        <v>97</v>
      </c>
      <c r="B55" s="48" t="s">
        <v>96</v>
      </c>
      <c r="C55" s="49">
        <f>SUM('Таблица №10'!G315)</f>
        <v>22.1</v>
      </c>
      <c r="D55" s="49">
        <f>SUM('Таблица №10'!H315)</f>
        <v>2271.5</v>
      </c>
      <c r="E55" s="49">
        <f>SUM('Таблица №10'!I315)</f>
        <v>22.1</v>
      </c>
      <c r="F55" s="49">
        <f>SUM('Таблица №10'!J315)</f>
        <v>2271.5</v>
      </c>
      <c r="G55" s="49">
        <f>SUM('Таблица №10'!K315)</f>
        <v>2271.5</v>
      </c>
    </row>
    <row r="56" spans="1:7" ht="29.25" customHeight="1">
      <c r="A56" s="91" t="s">
        <v>144</v>
      </c>
      <c r="B56" s="92" t="s">
        <v>98</v>
      </c>
      <c r="C56" s="93">
        <f>SUM(C57:C57)</f>
        <v>0</v>
      </c>
      <c r="D56" s="93">
        <f>SUM(D57:D57)</f>
        <v>0</v>
      </c>
      <c r="E56" s="93">
        <f>SUM(E57:E57)</f>
        <v>0</v>
      </c>
      <c r="F56" s="93">
        <f>SUM(F57:F57)</f>
        <v>0</v>
      </c>
      <c r="G56" s="93">
        <f>SUM(G57:G57)</f>
        <v>0</v>
      </c>
    </row>
    <row r="57" spans="1:7" ht="31.5" customHeight="1" hidden="1">
      <c r="A57" s="91" t="s">
        <v>100</v>
      </c>
      <c r="B57" s="92" t="s">
        <v>99</v>
      </c>
      <c r="C57" s="93">
        <f>SUM('Таблица №8'!F318)</f>
        <v>0</v>
      </c>
      <c r="D57" s="93">
        <f>SUM('Таблица №8'!G318)</f>
        <v>0</v>
      </c>
      <c r="E57" s="93">
        <f>SUM('Таблица №8'!H318)</f>
        <v>0</v>
      </c>
      <c r="F57" s="93">
        <f>SUM('Таблица №8'!I318)</f>
        <v>0</v>
      </c>
      <c r="G57" s="93">
        <f>SUM('Таблица №8'!J318)</f>
        <v>0</v>
      </c>
    </row>
    <row r="58" spans="1:7" ht="43.5" customHeight="1">
      <c r="A58" s="91" t="s">
        <v>175</v>
      </c>
      <c r="B58" s="92" t="s">
        <v>174</v>
      </c>
      <c r="C58" s="93">
        <f>SUM(C59:C59)</f>
        <v>0</v>
      </c>
      <c r="D58" s="93">
        <f>SUM(D59:D59)</f>
        <v>15643.5</v>
      </c>
      <c r="E58" s="93">
        <f>SUM(E59:E59)</f>
        <v>0</v>
      </c>
      <c r="F58" s="93">
        <f>SUM(F59:F59)</f>
        <v>15643.5</v>
      </c>
      <c r="G58" s="93">
        <f>SUM(G59:G59)</f>
        <v>15643.5</v>
      </c>
    </row>
    <row r="59" spans="1:7" ht="22.5" customHeight="1">
      <c r="A59" s="50" t="s">
        <v>177</v>
      </c>
      <c r="B59" s="48" t="s">
        <v>176</v>
      </c>
      <c r="C59" s="49">
        <f>SUM('Таблица №10'!G325)</f>
        <v>0</v>
      </c>
      <c r="D59" s="49">
        <f>SUM('Таблица №10'!H325)</f>
        <v>15643.5</v>
      </c>
      <c r="E59" s="49">
        <f>SUM('Таблица №10'!I325)</f>
        <v>0</v>
      </c>
      <c r="F59" s="49">
        <f>SUM('Таблица №10'!J325)</f>
        <v>15643.5</v>
      </c>
      <c r="G59" s="49">
        <f>SUM('Таблица №10'!K325)</f>
        <v>15643.5</v>
      </c>
    </row>
    <row r="60" spans="1:7" ht="21" customHeight="1">
      <c r="A60" s="94"/>
      <c r="B60" s="95" t="s">
        <v>145</v>
      </c>
      <c r="C60" s="93">
        <f>C8+C18+C20+C23+C27+C30+C32+C38+C44+C49+C53+C56+C58+C42</f>
        <v>44715.9</v>
      </c>
      <c r="D60" s="93">
        <f>D8+D18+D20+D23+D27+D30+D32+D38+D44+D49+D53+D56+D58+D42</f>
        <v>516318.504</v>
      </c>
      <c r="E60" s="93">
        <f>E8+E18+E20+E23+E27+E30+E32+E38+E44+E49+E53+E56+E58+E42</f>
        <v>32684.6</v>
      </c>
      <c r="F60" s="93">
        <f>F8+F18+F20+F23+F27+F30+F32+F38+F44+F49+F53+F56+F58+F42</f>
        <v>380849.10000000003</v>
      </c>
      <c r="G60" s="93">
        <f>G8+G18+G20+G23+G27+G30+G32+G38+G44+G49+G53+G56+G58+G42</f>
        <v>369719.3</v>
      </c>
    </row>
  </sheetData>
  <sheetProtection/>
  <mergeCells count="6">
    <mergeCell ref="C6:F6"/>
    <mergeCell ref="A5:F5"/>
    <mergeCell ref="C1:G1"/>
    <mergeCell ref="C2:G2"/>
    <mergeCell ref="C3:G3"/>
    <mergeCell ref="C4:G4"/>
  </mergeCells>
  <printOptions/>
  <pageMargins left="0.5118110236220472" right="0" top="0.7480314960629921" bottom="0.15748031496062992" header="0.31496062992125984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77"/>
  <sheetViews>
    <sheetView showGridLines="0" zoomScalePageLayoutView="0" workbookViewId="0" topLeftCell="A1">
      <pane ySplit="8" topLeftCell="A67" activePane="bottomLeft" state="frozen"/>
      <selection pane="topLeft" activeCell="A1" sqref="A1"/>
      <selection pane="bottomLeft" activeCell="F70" sqref="F70"/>
    </sheetView>
  </sheetViews>
  <sheetFormatPr defaultColWidth="9.140625" defaultRowHeight="12.75" outlineLevelRow="5"/>
  <cols>
    <col min="1" max="1" width="46.421875" style="7" customWidth="1"/>
    <col min="2" max="2" width="5.421875" style="12" customWidth="1"/>
    <col min="3" max="3" width="4.7109375" style="13" customWidth="1"/>
    <col min="4" max="4" width="5.7109375" style="11" customWidth="1"/>
    <col min="5" max="5" width="13.7109375" style="15" hidden="1" customWidth="1"/>
    <col min="6" max="6" width="13.140625" style="2" customWidth="1"/>
    <col min="7" max="7" width="10.00390625" style="2" hidden="1" customWidth="1"/>
    <col min="8" max="8" width="11.57421875" style="2" customWidth="1"/>
    <col min="9" max="9" width="12.140625" style="2" customWidth="1"/>
    <col min="10" max="16384" width="9.140625" style="2" customWidth="1"/>
  </cols>
  <sheetData>
    <row r="1" spans="3:9" ht="18.75" customHeight="1">
      <c r="C1" s="125" t="s">
        <v>229</v>
      </c>
      <c r="D1" s="125"/>
      <c r="E1" s="125"/>
      <c r="F1" s="125"/>
      <c r="G1" s="125"/>
      <c r="H1" s="125"/>
      <c r="I1" s="125"/>
    </row>
    <row r="2" spans="3:9" ht="18.75" customHeight="1">
      <c r="C2" s="125" t="s">
        <v>125</v>
      </c>
      <c r="D2" s="125"/>
      <c r="E2" s="125"/>
      <c r="F2" s="125"/>
      <c r="G2" s="125"/>
      <c r="H2" s="125"/>
      <c r="I2" s="125"/>
    </row>
    <row r="3" spans="3:9" ht="18.75" customHeight="1">
      <c r="C3" s="125" t="s">
        <v>126</v>
      </c>
      <c r="D3" s="125"/>
      <c r="E3" s="125"/>
      <c r="F3" s="125"/>
      <c r="G3" s="125"/>
      <c r="H3" s="125"/>
      <c r="I3" s="125"/>
    </row>
    <row r="4" spans="1:9" ht="21.75" customHeight="1">
      <c r="A4" s="8"/>
      <c r="B4" s="1"/>
      <c r="C4" s="125" t="s">
        <v>157</v>
      </c>
      <c r="D4" s="125"/>
      <c r="E4" s="125"/>
      <c r="F4" s="125"/>
      <c r="G4" s="125"/>
      <c r="H4" s="125"/>
      <c r="I4" s="125"/>
    </row>
    <row r="5" spans="1:9" ht="36.75" customHeight="1">
      <c r="A5" s="122" t="s">
        <v>332</v>
      </c>
      <c r="B5" s="122"/>
      <c r="C5" s="122"/>
      <c r="D5" s="122"/>
      <c r="E5" s="122"/>
      <c r="F5" s="122"/>
      <c r="G5" s="122"/>
      <c r="H5" s="122"/>
      <c r="I5" s="67"/>
    </row>
    <row r="6" spans="1:9" ht="12.75" hidden="1">
      <c r="A6" s="32"/>
      <c r="B6" s="33"/>
      <c r="C6" s="34"/>
      <c r="D6" s="36"/>
      <c r="E6" s="35"/>
      <c r="F6" s="17"/>
      <c r="G6" s="17"/>
      <c r="H6" s="17"/>
      <c r="I6" s="17"/>
    </row>
    <row r="7" spans="1:9" ht="12.75" customHeight="1">
      <c r="A7" s="32"/>
      <c r="B7" s="33"/>
      <c r="C7" s="34"/>
      <c r="D7" s="36"/>
      <c r="E7" s="126"/>
      <c r="F7" s="126"/>
      <c r="G7" s="126"/>
      <c r="H7" s="126"/>
      <c r="I7" s="96" t="s">
        <v>313</v>
      </c>
    </row>
    <row r="8" spans="1:9" ht="72.75" customHeight="1">
      <c r="A8" s="60" t="s">
        <v>1</v>
      </c>
      <c r="B8" s="58" t="s">
        <v>182</v>
      </c>
      <c r="C8" s="61" t="s">
        <v>8</v>
      </c>
      <c r="D8" s="59" t="s">
        <v>181</v>
      </c>
      <c r="E8" s="54" t="s">
        <v>294</v>
      </c>
      <c r="F8" s="37" t="s">
        <v>256</v>
      </c>
      <c r="G8" s="54" t="s">
        <v>336</v>
      </c>
      <c r="H8" s="37" t="s">
        <v>293</v>
      </c>
      <c r="I8" s="37" t="s">
        <v>333</v>
      </c>
    </row>
    <row r="9" spans="1:9" ht="39" customHeight="1" outlineLevel="2">
      <c r="A9" s="62" t="str">
        <f>'Таблица №10'!A49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9" s="81" t="str">
        <f>'Таблица №10'!D49</f>
        <v>01</v>
      </c>
      <c r="C9" s="81">
        <f>'Таблица №10'!E49</f>
        <v>0</v>
      </c>
      <c r="D9" s="81" t="s">
        <v>183</v>
      </c>
      <c r="E9" s="82">
        <f>SUM('Таблица №10'!G49)</f>
        <v>0</v>
      </c>
      <c r="F9" s="82">
        <f>SUM('Таблица №10'!H49)</f>
        <v>50</v>
      </c>
      <c r="G9" s="82">
        <f>SUM('Таблица №10'!I49)</f>
        <v>0</v>
      </c>
      <c r="H9" s="82">
        <f>SUM('Таблица №10'!J49)</f>
        <v>50</v>
      </c>
      <c r="I9" s="82">
        <f>SUM('Таблица №10'!K49)</f>
        <v>50</v>
      </c>
    </row>
    <row r="10" spans="1:9" ht="17.25" customHeight="1" outlineLevel="2">
      <c r="A10" s="63" t="s">
        <v>189</v>
      </c>
      <c r="B10" s="43" t="s">
        <v>2</v>
      </c>
      <c r="C10" s="43" t="s">
        <v>9</v>
      </c>
      <c r="D10" s="43" t="s">
        <v>2</v>
      </c>
      <c r="E10" s="80">
        <f>SUM('Таблица №10'!G50)</f>
        <v>0</v>
      </c>
      <c r="F10" s="80">
        <f>SUM('Таблица №10'!H50)</f>
        <v>50</v>
      </c>
      <c r="G10" s="80">
        <f>SUM('Таблица №10'!I50)</f>
        <v>0</v>
      </c>
      <c r="H10" s="80">
        <f>SUM('Таблица №10'!J50)</f>
        <v>50</v>
      </c>
      <c r="I10" s="80">
        <f>SUM('Таблица №10'!K50)</f>
        <v>50</v>
      </c>
    </row>
    <row r="11" spans="1:9" ht="40.5" customHeight="1" outlineLevel="5">
      <c r="A11" s="56" t="str">
        <f>'Таблица №10'!A134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11" s="81" t="s">
        <v>6</v>
      </c>
      <c r="C11" s="83">
        <v>0</v>
      </c>
      <c r="D11" s="81" t="s">
        <v>183</v>
      </c>
      <c r="E11" s="82">
        <f>SUM(E12+E17+E14)</f>
        <v>4816.421060000001</v>
      </c>
      <c r="F11" s="82">
        <f>SUM(F12+F17+F14)</f>
        <v>12816.42106</v>
      </c>
      <c r="G11" s="82">
        <f>SUM(G12+G17+G14)</f>
        <v>9848</v>
      </c>
      <c r="H11" s="82">
        <f>SUM(H12+H17+H14)</f>
        <v>15848</v>
      </c>
      <c r="I11" s="82">
        <f>SUM(I12+I17+I14)</f>
        <v>10448</v>
      </c>
    </row>
    <row r="12" spans="1:9" ht="49.5" customHeight="1" outlineLevel="5">
      <c r="A12" s="56" t="str">
        <f>'Таблица №10'!A135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2" s="81" t="s">
        <v>6</v>
      </c>
      <c r="C12" s="83">
        <v>1</v>
      </c>
      <c r="D12" s="81" t="s">
        <v>183</v>
      </c>
      <c r="E12" s="82">
        <f>SUM(E13)</f>
        <v>4448</v>
      </c>
      <c r="F12" s="82">
        <f>SUM(F13)</f>
        <v>4448</v>
      </c>
      <c r="G12" s="82">
        <f>SUM(G13)</f>
        <v>4448</v>
      </c>
      <c r="H12" s="82">
        <f>SUM(H13)</f>
        <v>4448</v>
      </c>
      <c r="I12" s="82">
        <f>SUM(I13)</f>
        <v>4448</v>
      </c>
    </row>
    <row r="13" spans="1:9" ht="27" customHeight="1">
      <c r="A13" s="63" t="s">
        <v>193</v>
      </c>
      <c r="B13" s="43" t="s">
        <v>6</v>
      </c>
      <c r="C13" s="43" t="s">
        <v>186</v>
      </c>
      <c r="D13" s="43" t="s">
        <v>2</v>
      </c>
      <c r="E13" s="80">
        <f>SUM('Таблица №10'!G136+'Таблица №10'!G137)</f>
        <v>4448</v>
      </c>
      <c r="F13" s="80">
        <f>SUM('Таблица №10'!H136+'Таблица №10'!H137)</f>
        <v>4448</v>
      </c>
      <c r="G13" s="80">
        <f>SUM('Таблица №10'!I136+'Таблица №10'!I137)</f>
        <v>4448</v>
      </c>
      <c r="H13" s="80">
        <f>SUM('Таблица №10'!J136+'Таблица №10'!J137)</f>
        <v>4448</v>
      </c>
      <c r="I13" s="80">
        <f>SUM('Таблица №10'!K136+'Таблица №10'!K137)</f>
        <v>4448</v>
      </c>
    </row>
    <row r="14" spans="1:9" ht="27" customHeight="1">
      <c r="A14" s="56" t="str">
        <f>'[1]Таблица №10'!A134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14" s="81" t="s">
        <v>6</v>
      </c>
      <c r="C14" s="83">
        <v>3</v>
      </c>
      <c r="D14" s="81" t="s">
        <v>183</v>
      </c>
      <c r="E14" s="82">
        <f>SUM(E15:E16)</f>
        <v>315.78947999999997</v>
      </c>
      <c r="F14" s="82">
        <f>SUM(F15:F16)</f>
        <v>6315.78948</v>
      </c>
      <c r="G14" s="82">
        <f>SUM(G15:G16)</f>
        <v>5400</v>
      </c>
      <c r="H14" s="82">
        <f>SUM(H15:H16)</f>
        <v>11400</v>
      </c>
      <c r="I14" s="82">
        <f>SUM(I15:I16)</f>
        <v>6000</v>
      </c>
    </row>
    <row r="15" spans="1:9" ht="36">
      <c r="A15" s="55" t="s">
        <v>216</v>
      </c>
      <c r="B15" s="43" t="s">
        <v>6</v>
      </c>
      <c r="C15" s="43" t="s">
        <v>188</v>
      </c>
      <c r="D15" s="43" t="s">
        <v>2</v>
      </c>
      <c r="E15" s="80">
        <f>SUM('Таблица №10'!G271+'Таблица №10'!G157)</f>
        <v>0</v>
      </c>
      <c r="F15" s="80">
        <f>SUM('Таблица №10'!H271+'Таблица №10'!H157)</f>
        <v>0</v>
      </c>
      <c r="G15" s="80">
        <f>SUM('Таблица №10'!I271+'Таблица №10'!I157)</f>
        <v>0</v>
      </c>
      <c r="H15" s="80">
        <f>SUM('Таблица №10'!J271+'Таблица №10'!J157)</f>
        <v>0</v>
      </c>
      <c r="I15" s="80">
        <f>SUM('Таблица №10'!K271+'Таблица №10'!K157)</f>
        <v>0</v>
      </c>
    </row>
    <row r="16" spans="1:9" ht="24">
      <c r="A16" s="63" t="s">
        <v>207</v>
      </c>
      <c r="B16" s="43" t="s">
        <v>6</v>
      </c>
      <c r="C16" s="43" t="s">
        <v>188</v>
      </c>
      <c r="D16" s="43" t="s">
        <v>6</v>
      </c>
      <c r="E16" s="80">
        <f>SUM('Таблица №10'!G158+'Таблица №10'!G179+'Таблица №10'!G65+'Таблица №10'!G217)</f>
        <v>315.78947999999997</v>
      </c>
      <c r="F16" s="80">
        <f>SUM('Таблица №10'!H158+'Таблица №10'!H179+'Таблица №10'!H65+'Таблица №10'!H217)</f>
        <v>6315.78948</v>
      </c>
      <c r="G16" s="80">
        <f>SUM('Таблица №10'!I158+'Таблица №10'!I179+'Таблица №10'!I65+'Таблица №10'!I217)</f>
        <v>5400</v>
      </c>
      <c r="H16" s="80">
        <f>SUM('Таблица №10'!J158+'Таблица №10'!J179+'Таблица №10'!J65+'Таблица №10'!J217)</f>
        <v>11400</v>
      </c>
      <c r="I16" s="80">
        <f>SUM('Таблица №10'!K158+'Таблица №10'!K179+'Таблица №10'!K65+'Таблица №10'!K217)</f>
        <v>6000</v>
      </c>
    </row>
    <row r="17" spans="1:9" ht="36" customHeight="1">
      <c r="A17" s="62" t="str">
        <f>'Таблица №10'!A66</f>
        <v>Подпрограмма "Энергосбережение и повышение энергетической эффективности Алексеевского муниципального района"</v>
      </c>
      <c r="B17" s="81" t="s">
        <v>6</v>
      </c>
      <c r="C17" s="81" t="s">
        <v>194</v>
      </c>
      <c r="D17" s="81" t="s">
        <v>183</v>
      </c>
      <c r="E17" s="82">
        <f>SUM(E18:E19)</f>
        <v>52.63158</v>
      </c>
      <c r="F17" s="82">
        <f>SUM(F18:F19)</f>
        <v>2052.63158</v>
      </c>
      <c r="G17" s="82">
        <f>SUM(G18:G19)</f>
        <v>0</v>
      </c>
      <c r="H17" s="82">
        <f>SUM(H18:H19)</f>
        <v>0</v>
      </c>
      <c r="I17" s="82">
        <f>SUM(I18:I19)</f>
        <v>0</v>
      </c>
    </row>
    <row r="18" spans="1:9" ht="27.75" customHeight="1">
      <c r="A18" s="63" t="s">
        <v>224</v>
      </c>
      <c r="B18" s="43" t="s">
        <v>6</v>
      </c>
      <c r="C18" s="43" t="s">
        <v>194</v>
      </c>
      <c r="D18" s="43" t="s">
        <v>2</v>
      </c>
      <c r="E18" s="80">
        <f>SUM('Таблица №10'!G67+'Таблица №10'!G160+'Таблица №10'!G184+'Таблица №10'!G183+'Таблица №10'!G138)</f>
        <v>0</v>
      </c>
      <c r="F18" s="80">
        <f>SUM('Таблица №10'!H67+'Таблица №10'!H160+'Таблица №10'!H184+'Таблица №10'!H183+'Таблица №10'!H138)</f>
        <v>1000</v>
      </c>
      <c r="G18" s="80">
        <f>SUM('Таблица №10'!I67+'Таблица №10'!I160+'Таблица №10'!I184+'Таблица №10'!I183+'Таблица №10'!I138)</f>
        <v>0</v>
      </c>
      <c r="H18" s="80">
        <f>SUM('Таблица №10'!J67+'Таблица №10'!J160+'Таблица №10'!J184+'Таблица №10'!J183+'Таблица №10'!J138)</f>
        <v>0</v>
      </c>
      <c r="I18" s="80">
        <f>SUM('Таблица №10'!K67+'Таблица №10'!K160+'Таблица №10'!K184+'Таблица №10'!K183+'Таблица №10'!K138)</f>
        <v>0</v>
      </c>
    </row>
    <row r="19" spans="1:9" ht="48">
      <c r="A19" s="63" t="s">
        <v>303</v>
      </c>
      <c r="B19" s="43" t="s">
        <v>6</v>
      </c>
      <c r="C19" s="43" t="s">
        <v>194</v>
      </c>
      <c r="D19" s="43" t="s">
        <v>6</v>
      </c>
      <c r="E19" s="80">
        <f>SUM('Таблица №10'!G185)</f>
        <v>52.63158</v>
      </c>
      <c r="F19" s="80">
        <f>SUM('Таблица №10'!H185)</f>
        <v>1052.63158</v>
      </c>
      <c r="G19" s="80">
        <f>SUM('Таблица №10'!I185)</f>
        <v>0</v>
      </c>
      <c r="H19" s="80">
        <f>SUM('Таблица №10'!J185)</f>
        <v>0</v>
      </c>
      <c r="I19" s="80">
        <f>SUM('Таблица №10'!K185)</f>
        <v>0</v>
      </c>
    </row>
    <row r="20" spans="1:9" ht="27.75" customHeight="1">
      <c r="A20" s="62" t="str">
        <f>'Таблица №10'!A140</f>
        <v>Муниципальная программа "Комплексное развитие сельских территорий"</v>
      </c>
      <c r="B20" s="81" t="s">
        <v>12</v>
      </c>
      <c r="C20" s="81" t="s">
        <v>9</v>
      </c>
      <c r="D20" s="81" t="s">
        <v>183</v>
      </c>
      <c r="E20" s="82">
        <f>SUM(E21:E22)</f>
        <v>4223.546</v>
      </c>
      <c r="F20" s="82">
        <f>SUM(F21:F22)</f>
        <v>124897.25</v>
      </c>
      <c r="G20" s="82">
        <f>SUM(G21:G22)</f>
        <v>0</v>
      </c>
      <c r="H20" s="82">
        <f>SUM(H21:H22)</f>
        <v>0</v>
      </c>
      <c r="I20" s="82">
        <f>SUM(I21:I22)</f>
        <v>0</v>
      </c>
    </row>
    <row r="21" spans="1:9" ht="27.75" customHeight="1">
      <c r="A21" s="55" t="s">
        <v>301</v>
      </c>
      <c r="B21" s="43" t="s">
        <v>12</v>
      </c>
      <c r="C21" s="43" t="s">
        <v>9</v>
      </c>
      <c r="D21" s="43" t="s">
        <v>6</v>
      </c>
      <c r="E21" s="80">
        <f>SUM('Таблица №10'!G146)</f>
        <v>0</v>
      </c>
      <c r="F21" s="80">
        <f>SUM('Таблица №10'!H146)</f>
        <v>0</v>
      </c>
      <c r="G21" s="80">
        <f>SUM('Таблица №10'!I146)</f>
        <v>0</v>
      </c>
      <c r="H21" s="80">
        <f>SUM('Таблица №10'!J146)</f>
        <v>0</v>
      </c>
      <c r="I21" s="80">
        <f>SUM('Таблица №10'!K146)</f>
        <v>0</v>
      </c>
    </row>
    <row r="22" spans="1:9" ht="27" customHeight="1">
      <c r="A22" s="55" t="s">
        <v>300</v>
      </c>
      <c r="B22" s="43" t="s">
        <v>12</v>
      </c>
      <c r="C22" s="43" t="s">
        <v>9</v>
      </c>
      <c r="D22" s="43" t="s">
        <v>13</v>
      </c>
      <c r="E22" s="80">
        <f>SUM('Таблица №10'!G140+'Таблица №10'!G248+'Таблица №10'!G304)</f>
        <v>4223.546</v>
      </c>
      <c r="F22" s="80">
        <f>SUM('Таблица №10'!H140+'Таблица №10'!H248+'Таблица №10'!H304)</f>
        <v>124897.25</v>
      </c>
      <c r="G22" s="80">
        <f>SUM('Таблица №10'!I140+'Таблица №10'!I248+'Таблица №10'!I304)</f>
        <v>0</v>
      </c>
      <c r="H22" s="80">
        <f>SUM('Таблица №10'!J140+'Таблица №10'!J248+'Таблица №10'!J304)</f>
        <v>0</v>
      </c>
      <c r="I22" s="80">
        <f>SUM('Таблица №10'!K140+'Таблица №10'!K248+'Таблица №10'!K304)</f>
        <v>0</v>
      </c>
    </row>
    <row r="23" spans="1:9" ht="39.75" customHeight="1">
      <c r="A23" s="56" t="str">
        <f>'Таблица №10'!A123</f>
        <v>Муниципальная программа "Развитие и поддержка малого предпринимательства Алексеевского муниципального района на 2019-2023 годы "</v>
      </c>
      <c r="B23" s="81" t="s">
        <v>13</v>
      </c>
      <c r="C23" s="81" t="s">
        <v>9</v>
      </c>
      <c r="D23" s="81" t="s">
        <v>183</v>
      </c>
      <c r="E23" s="82">
        <f>SUM('Таблица №10'!G123)</f>
        <v>0</v>
      </c>
      <c r="F23" s="82">
        <f>SUM('Таблица №10'!H123)</f>
        <v>100</v>
      </c>
      <c r="G23" s="82">
        <f>SUM('Таблица №10'!I123)</f>
        <v>0</v>
      </c>
      <c r="H23" s="82">
        <f>SUM('Таблица №10'!J123)</f>
        <v>100</v>
      </c>
      <c r="I23" s="82">
        <f>SUM('Таблица №10'!K123)</f>
        <v>100</v>
      </c>
    </row>
    <row r="24" spans="1:9" ht="36">
      <c r="A24" s="63" t="s">
        <v>195</v>
      </c>
      <c r="B24" s="43" t="s">
        <v>13</v>
      </c>
      <c r="C24" s="43" t="s">
        <v>9</v>
      </c>
      <c r="D24" s="43" t="s">
        <v>2</v>
      </c>
      <c r="E24" s="80">
        <f>SUM('Таблица №10'!G124)</f>
        <v>0</v>
      </c>
      <c r="F24" s="80">
        <f>SUM('Таблица №10'!H124)</f>
        <v>0</v>
      </c>
      <c r="G24" s="80">
        <f>SUM('Таблица №10'!I124)</f>
        <v>0</v>
      </c>
      <c r="H24" s="80">
        <f>SUM('Таблица №10'!J124)</f>
        <v>0</v>
      </c>
      <c r="I24" s="80">
        <f>SUM('Таблица №10'!K124)</f>
        <v>0</v>
      </c>
    </row>
    <row r="25" spans="1:9" ht="22.5" customHeight="1">
      <c r="A25" s="63" t="s">
        <v>196</v>
      </c>
      <c r="B25" s="43" t="s">
        <v>13</v>
      </c>
      <c r="C25" s="43" t="s">
        <v>9</v>
      </c>
      <c r="D25" s="43" t="s">
        <v>6</v>
      </c>
      <c r="E25" s="80">
        <f>SUM('Таблица №10'!G126)</f>
        <v>0</v>
      </c>
      <c r="F25" s="80">
        <f>SUM('Таблица №10'!H126)</f>
        <v>100</v>
      </c>
      <c r="G25" s="80">
        <f>SUM('Таблица №10'!I126)</f>
        <v>0</v>
      </c>
      <c r="H25" s="80">
        <f>SUM('Таблица №10'!J126)</f>
        <v>100</v>
      </c>
      <c r="I25" s="80">
        <f>SUM('Таблица №10'!K126)</f>
        <v>100</v>
      </c>
    </row>
    <row r="26" spans="1:9" ht="35.25" customHeight="1" hidden="1">
      <c r="A26" s="63" t="s">
        <v>253</v>
      </c>
      <c r="B26" s="43" t="s">
        <v>13</v>
      </c>
      <c r="C26" s="43" t="s">
        <v>9</v>
      </c>
      <c r="D26" s="43" t="s">
        <v>12</v>
      </c>
      <c r="E26" s="80">
        <f>SUM('Таблица №10'!G125)</f>
        <v>0</v>
      </c>
      <c r="F26" s="80">
        <f>SUM('Таблица №10'!H125)</f>
        <v>0</v>
      </c>
      <c r="G26" s="80">
        <f>SUM('Таблица №10'!I125)</f>
        <v>0</v>
      </c>
      <c r="H26" s="80">
        <f>SUM('Таблица №10'!J125)</f>
        <v>0</v>
      </c>
      <c r="I26" s="80">
        <f>SUM('Таблица №10'!K125)</f>
        <v>0</v>
      </c>
    </row>
    <row r="27" spans="1:9" ht="38.25" customHeight="1">
      <c r="A27" s="56" t="str">
        <f>'Таблица №10'!A150</f>
        <v>Муниципальная программа "Охрана окружающей среды Алексеевского муниципального района на 2019-2023 годы"</v>
      </c>
      <c r="B27" s="81" t="s">
        <v>15</v>
      </c>
      <c r="C27" s="81" t="s">
        <v>9</v>
      </c>
      <c r="D27" s="81" t="s">
        <v>183</v>
      </c>
      <c r="E27" s="82">
        <f>SUM('Таблица №10'!G150)</f>
        <v>-30</v>
      </c>
      <c r="F27" s="82">
        <f>SUM('Таблица №10'!H150)</f>
        <v>20</v>
      </c>
      <c r="G27" s="82">
        <f>SUM('Таблица №10'!I150)</f>
        <v>-30</v>
      </c>
      <c r="H27" s="82">
        <f>SUM('Таблица №10'!J150)</f>
        <v>20</v>
      </c>
      <c r="I27" s="82">
        <f>SUM('Таблица №10'!K150)</f>
        <v>20</v>
      </c>
    </row>
    <row r="28" spans="1:9" ht="23.25" customHeight="1">
      <c r="A28" s="63" t="s">
        <v>279</v>
      </c>
      <c r="B28" s="43" t="s">
        <v>15</v>
      </c>
      <c r="C28" s="43" t="s">
        <v>9</v>
      </c>
      <c r="D28" s="43" t="s">
        <v>2</v>
      </c>
      <c r="E28" s="80">
        <f>SUM('Таблица №10'!G150)</f>
        <v>-30</v>
      </c>
      <c r="F28" s="80">
        <f>SUM('Таблица №10'!H150)</f>
        <v>20</v>
      </c>
      <c r="G28" s="80">
        <f>SUM('Таблица №10'!I150)</f>
        <v>-30</v>
      </c>
      <c r="H28" s="80">
        <f>SUM('Таблица №10'!J150)</f>
        <v>20</v>
      </c>
      <c r="I28" s="80">
        <f>SUM('Таблица №10'!K150)</f>
        <v>20</v>
      </c>
    </row>
    <row r="29" spans="1:9" ht="24" hidden="1">
      <c r="A29" s="63" t="s">
        <v>292</v>
      </c>
      <c r="B29" s="43" t="s">
        <v>15</v>
      </c>
      <c r="C29" s="43" t="s">
        <v>9</v>
      </c>
      <c r="D29" s="43" t="s">
        <v>6</v>
      </c>
      <c r="E29" s="80">
        <v>0</v>
      </c>
      <c r="F29" s="80">
        <v>0</v>
      </c>
      <c r="G29" s="80">
        <v>0</v>
      </c>
      <c r="H29" s="80">
        <v>0</v>
      </c>
      <c r="I29" s="80">
        <v>0</v>
      </c>
    </row>
    <row r="30" spans="1:9" ht="62.25" customHeight="1">
      <c r="A30" s="56" t="str">
        <f>'Таблица №10'!A224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v>
      </c>
      <c r="B30" s="81" t="s">
        <v>24</v>
      </c>
      <c r="C30" s="81" t="s">
        <v>9</v>
      </c>
      <c r="D30" s="81" t="s">
        <v>183</v>
      </c>
      <c r="E30" s="82">
        <f>SUM('Таблица №10'!G224)</f>
        <v>-100</v>
      </c>
      <c r="F30" s="82">
        <f>SUM('Таблица №10'!H224)</f>
        <v>100</v>
      </c>
      <c r="G30" s="82">
        <f>SUM('Таблица №10'!I224)</f>
        <v>-100</v>
      </c>
      <c r="H30" s="82">
        <f>SUM('Таблица №10'!J224)</f>
        <v>100</v>
      </c>
      <c r="I30" s="82">
        <f>SUM('Таблица №10'!K224)</f>
        <v>0</v>
      </c>
    </row>
    <row r="31" spans="1:9" ht="27.75" customHeight="1">
      <c r="A31" s="56" t="str">
        <f>'Таблица №10'!A225</f>
        <v>Подпрограмма "Комплексные меры по противодействию наркомании"</v>
      </c>
      <c r="B31" s="81" t="s">
        <v>24</v>
      </c>
      <c r="C31" s="81" t="s">
        <v>186</v>
      </c>
      <c r="D31" s="81" t="s">
        <v>183</v>
      </c>
      <c r="E31" s="82">
        <f>SUM('Таблица №10'!G225)</f>
        <v>-20</v>
      </c>
      <c r="F31" s="82">
        <f>SUM('Таблица №10'!H225)</f>
        <v>30</v>
      </c>
      <c r="G31" s="82">
        <f>SUM('Таблица №10'!I225)</f>
        <v>-20</v>
      </c>
      <c r="H31" s="82">
        <f>SUM('Таблица №10'!J225)</f>
        <v>30</v>
      </c>
      <c r="I31" s="82">
        <f>SUM('Таблица №10'!K225)</f>
        <v>0</v>
      </c>
    </row>
    <row r="32" spans="1:9" ht="37.5" customHeight="1">
      <c r="A32" s="63" t="s">
        <v>252</v>
      </c>
      <c r="B32" s="43" t="s">
        <v>24</v>
      </c>
      <c r="C32" s="43" t="s">
        <v>186</v>
      </c>
      <c r="D32" s="43" t="s">
        <v>2</v>
      </c>
      <c r="E32" s="80">
        <f>SUM('Таблица №10'!G226)</f>
        <v>-20</v>
      </c>
      <c r="F32" s="80">
        <f>SUM('Таблица №10'!H226)</f>
        <v>30</v>
      </c>
      <c r="G32" s="80">
        <f>SUM('Таблица №10'!I226)</f>
        <v>-20</v>
      </c>
      <c r="H32" s="80">
        <f>SUM('Таблица №10'!J226)</f>
        <v>30</v>
      </c>
      <c r="I32" s="80">
        <f>SUM('Таблица №10'!K226)</f>
        <v>0</v>
      </c>
    </row>
    <row r="33" spans="1:9" ht="29.25" customHeight="1" outlineLevel="1">
      <c r="A33" s="56" t="str">
        <f>'Таблица №10'!A227</f>
        <v>Подпрограмма "Реализация мероприятий молодежной политики и социальной адаптации молодежи "</v>
      </c>
      <c r="B33" s="81" t="s">
        <v>24</v>
      </c>
      <c r="C33" s="81" t="s">
        <v>187</v>
      </c>
      <c r="D33" s="81" t="s">
        <v>183</v>
      </c>
      <c r="E33" s="82">
        <f>SUM('Таблица №10'!G227)</f>
        <v>-60</v>
      </c>
      <c r="F33" s="82">
        <f>SUM('Таблица №10'!H227)</f>
        <v>40</v>
      </c>
      <c r="G33" s="82">
        <f>SUM('Таблица №10'!I227)</f>
        <v>-60</v>
      </c>
      <c r="H33" s="82">
        <f>SUM('Таблица №10'!J227)</f>
        <v>40</v>
      </c>
      <c r="I33" s="82">
        <f>SUM('Таблица №10'!K227)</f>
        <v>0</v>
      </c>
    </row>
    <row r="34" spans="1:9" ht="30" customHeight="1" outlineLevel="5">
      <c r="A34" s="63" t="s">
        <v>197</v>
      </c>
      <c r="B34" s="43" t="s">
        <v>24</v>
      </c>
      <c r="C34" s="43" t="s">
        <v>187</v>
      </c>
      <c r="D34" s="43" t="s">
        <v>2</v>
      </c>
      <c r="E34" s="80">
        <f>SUM('Таблица №10'!G228)</f>
        <v>-60</v>
      </c>
      <c r="F34" s="80">
        <f>SUM('Таблица №10'!H228)</f>
        <v>40</v>
      </c>
      <c r="G34" s="80">
        <f>SUM('Таблица №10'!I228)</f>
        <v>-60</v>
      </c>
      <c r="H34" s="80">
        <f>SUM('Таблица №10'!J228)</f>
        <v>40</v>
      </c>
      <c r="I34" s="80">
        <f>SUM('Таблица №10'!K228)</f>
        <v>0</v>
      </c>
    </row>
    <row r="35" spans="1:9" ht="42.75" customHeight="1" outlineLevel="5">
      <c r="A35" s="56" t="str">
        <f>'Таблица №10'!A229</f>
        <v>Подпрограмма " Профилактика безнадзорности, правонарушений и неблагополучия несовершеннолетних"</v>
      </c>
      <c r="B35" s="81" t="s">
        <v>24</v>
      </c>
      <c r="C35" s="81" t="s">
        <v>188</v>
      </c>
      <c r="D35" s="81" t="s">
        <v>183</v>
      </c>
      <c r="E35" s="82">
        <f>SUM('Таблица №10'!G229)</f>
        <v>-20</v>
      </c>
      <c r="F35" s="82">
        <f>SUM('Таблица №10'!H229)</f>
        <v>30</v>
      </c>
      <c r="G35" s="82">
        <f>SUM('Таблица №10'!I229)</f>
        <v>-20</v>
      </c>
      <c r="H35" s="82">
        <f>SUM('Таблица №10'!J229)</f>
        <v>30</v>
      </c>
      <c r="I35" s="82">
        <f>SUM('Таблица №10'!K229)</f>
        <v>0</v>
      </c>
    </row>
    <row r="36" spans="1:9" s="17" customFormat="1" ht="38.25" customHeight="1" outlineLevel="2">
      <c r="A36" s="63" t="s">
        <v>245</v>
      </c>
      <c r="B36" s="43" t="s">
        <v>24</v>
      </c>
      <c r="C36" s="44">
        <v>3</v>
      </c>
      <c r="D36" s="43" t="s">
        <v>2</v>
      </c>
      <c r="E36" s="80">
        <f>SUM('Таблица №10'!G230)</f>
        <v>-20</v>
      </c>
      <c r="F36" s="80">
        <f>SUM('Таблица №10'!H230)</f>
        <v>30</v>
      </c>
      <c r="G36" s="80">
        <f>SUM('Таблица №10'!I230)</f>
        <v>-20</v>
      </c>
      <c r="H36" s="80">
        <f>SUM('Таблица №10'!J230)</f>
        <v>30</v>
      </c>
      <c r="I36" s="80">
        <f>SUM('Таблица №10'!K230)</f>
        <v>0</v>
      </c>
    </row>
    <row r="37" spans="1:9" s="17" customFormat="1" ht="33.75" customHeight="1" hidden="1" outlineLevel="2">
      <c r="A37" s="63" t="s">
        <v>246</v>
      </c>
      <c r="B37" s="43" t="s">
        <v>24</v>
      </c>
      <c r="C37" s="44">
        <v>3</v>
      </c>
      <c r="D37" s="43" t="s">
        <v>6</v>
      </c>
      <c r="E37" s="80">
        <f>SUM('Таблица №10'!G231)</f>
        <v>0</v>
      </c>
      <c r="F37" s="80">
        <f>SUM('Таблица №10'!H231)</f>
        <v>0</v>
      </c>
      <c r="G37" s="80">
        <f>SUM('Таблица №10'!I231)</f>
        <v>0</v>
      </c>
      <c r="H37" s="80">
        <f>SUM('Таблица №10'!J231)</f>
        <v>0</v>
      </c>
      <c r="I37" s="80">
        <f>SUM('Таблица №10'!K231)</f>
        <v>0</v>
      </c>
    </row>
    <row r="38" spans="1:9" s="17" customFormat="1" ht="28.5" customHeight="1" hidden="1" outlineLevel="2">
      <c r="A38" s="63" t="s">
        <v>247</v>
      </c>
      <c r="B38" s="43" t="s">
        <v>24</v>
      </c>
      <c r="C38" s="44">
        <v>3</v>
      </c>
      <c r="D38" s="43" t="s">
        <v>12</v>
      </c>
      <c r="E38" s="80">
        <f>SUM('Таблица №10'!G232)</f>
        <v>0</v>
      </c>
      <c r="F38" s="80">
        <f>SUM('Таблица №10'!H232)</f>
        <v>0</v>
      </c>
      <c r="G38" s="80">
        <f>SUM('Таблица №10'!I232)</f>
        <v>0</v>
      </c>
      <c r="H38" s="80">
        <f>SUM('Таблица №10'!J232)</f>
        <v>0</v>
      </c>
      <c r="I38" s="80">
        <f>SUM('Таблица №10'!K232)</f>
        <v>0</v>
      </c>
    </row>
    <row r="39" spans="1:9" s="17" customFormat="1" ht="75" customHeight="1" outlineLevel="2">
      <c r="A39" s="56" t="str">
        <f>'Таблица №10'!A240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39" s="81" t="s">
        <v>211</v>
      </c>
      <c r="C39" s="81" t="s">
        <v>9</v>
      </c>
      <c r="D39" s="81" t="s">
        <v>183</v>
      </c>
      <c r="E39" s="82">
        <f>SUM('Таблица №10'!G240)</f>
        <v>0</v>
      </c>
      <c r="F39" s="82">
        <f>SUM('Таблица №10'!H240)</f>
        <v>20</v>
      </c>
      <c r="G39" s="82">
        <f>SUM('Таблица №10'!I240)</f>
        <v>0</v>
      </c>
      <c r="H39" s="82">
        <f>SUM('Таблица №10'!J240)</f>
        <v>20</v>
      </c>
      <c r="I39" s="82">
        <f>SUM('Таблица №10'!K240)</f>
        <v>20</v>
      </c>
    </row>
    <row r="40" spans="1:9" s="17" customFormat="1" ht="48" customHeight="1" outlineLevel="2">
      <c r="A40" s="63" t="s">
        <v>213</v>
      </c>
      <c r="B40" s="43" t="s">
        <v>211</v>
      </c>
      <c r="C40" s="44">
        <v>0</v>
      </c>
      <c r="D40" s="43" t="s">
        <v>2</v>
      </c>
      <c r="E40" s="80">
        <f>SUM('Таблица №10'!G241)</f>
        <v>0</v>
      </c>
      <c r="F40" s="80">
        <f>SUM('Таблица №10'!H241)</f>
        <v>20</v>
      </c>
      <c r="G40" s="80">
        <f>SUM('Таблица №10'!I241)</f>
        <v>0</v>
      </c>
      <c r="H40" s="80">
        <f>SUM('Таблица №10'!J241)</f>
        <v>20</v>
      </c>
      <c r="I40" s="80">
        <f>SUM('Таблица №10'!K241)</f>
        <v>20</v>
      </c>
    </row>
    <row r="41" spans="1:9" s="17" customFormat="1" ht="40.5" customHeight="1" outlineLevel="2">
      <c r="A41" s="56" t="str">
        <f>'Таблица №10'!A127</f>
        <v>Муниципальная программа "Градостроительная политика на территории Алексеевского муниципального района на 2019–2021 годы"</v>
      </c>
      <c r="B41" s="81" t="s">
        <v>284</v>
      </c>
      <c r="C41" s="83">
        <v>0</v>
      </c>
      <c r="D41" s="81" t="s">
        <v>183</v>
      </c>
      <c r="E41" s="82">
        <f>SUM('Таблица №10'!G127)</f>
        <v>0</v>
      </c>
      <c r="F41" s="82">
        <f>SUM('Таблица №10'!H127)</f>
        <v>525</v>
      </c>
      <c r="G41" s="82">
        <f>SUM('Таблица №10'!I127)</f>
        <v>0</v>
      </c>
      <c r="H41" s="82">
        <f>SUM('Таблица №10'!J127)</f>
        <v>0</v>
      </c>
      <c r="I41" s="82">
        <f>SUM('Таблица №10'!K127)</f>
        <v>0</v>
      </c>
    </row>
    <row r="42" spans="1:9" s="17" customFormat="1" ht="38.25" customHeight="1" outlineLevel="2">
      <c r="A42" s="63" t="s">
        <v>286</v>
      </c>
      <c r="B42" s="43" t="s">
        <v>284</v>
      </c>
      <c r="C42" s="44">
        <v>0</v>
      </c>
      <c r="D42" s="43" t="s">
        <v>2</v>
      </c>
      <c r="E42" s="80">
        <f>SUM('Таблица №10'!G128)</f>
        <v>0</v>
      </c>
      <c r="F42" s="80">
        <f>SUM('Таблица №10'!H128)</f>
        <v>525</v>
      </c>
      <c r="G42" s="80">
        <f>SUM('Таблица №10'!I128)</f>
        <v>0</v>
      </c>
      <c r="H42" s="80">
        <f>SUM('Таблица №10'!J128)</f>
        <v>0</v>
      </c>
      <c r="I42" s="80">
        <f>SUM('Таблица №10'!K128)</f>
        <v>0</v>
      </c>
    </row>
    <row r="43" spans="1:9" s="17" customFormat="1" ht="64.5" customHeight="1" outlineLevel="2">
      <c r="A43" s="63" t="s">
        <v>285</v>
      </c>
      <c r="B43" s="43" t="s">
        <v>284</v>
      </c>
      <c r="C43" s="44">
        <v>0</v>
      </c>
      <c r="D43" s="43" t="s">
        <v>6</v>
      </c>
      <c r="E43" s="80">
        <f>SUM('Таблица №10'!G129)</f>
        <v>0</v>
      </c>
      <c r="F43" s="80">
        <f>SUM('Таблица №10'!H129)</f>
        <v>0</v>
      </c>
      <c r="G43" s="80">
        <f>SUM('Таблица №10'!I129)</f>
        <v>0</v>
      </c>
      <c r="H43" s="80">
        <f>SUM('Таблица №10'!J129)</f>
        <v>0</v>
      </c>
      <c r="I43" s="80">
        <f>SUM('Таблица №10'!K129)</f>
        <v>0</v>
      </c>
    </row>
    <row r="44" spans="1:9" s="17" customFormat="1" ht="36" hidden="1" outlineLevel="2">
      <c r="A44" s="56" t="str">
        <f>'Таблица №10'!A288</f>
        <v>Муниципальная программа "Молодой семье – доступное жилье на территории Алексеевского муниципального района на 2019-2020 годы"</v>
      </c>
      <c r="B44" s="81" t="s">
        <v>267</v>
      </c>
      <c r="C44" s="81" t="s">
        <v>9</v>
      </c>
      <c r="D44" s="81" t="s">
        <v>183</v>
      </c>
      <c r="E44" s="82">
        <f>SUM('Таблица №10'!G288)</f>
        <v>0</v>
      </c>
      <c r="F44" s="82">
        <f>SUM('Таблица №10'!H288)</f>
        <v>0</v>
      </c>
      <c r="G44" s="82">
        <f>SUM('Таблица №10'!I288)</f>
        <v>0</v>
      </c>
      <c r="H44" s="82">
        <f>SUM('Таблица №10'!J288)</f>
        <v>0</v>
      </c>
      <c r="I44" s="82">
        <f>SUM('Таблица №10'!K288)</f>
        <v>0</v>
      </c>
    </row>
    <row r="45" spans="1:9" ht="36" hidden="1" outlineLevel="3">
      <c r="A45" s="55" t="s">
        <v>268</v>
      </c>
      <c r="B45" s="43" t="s">
        <v>267</v>
      </c>
      <c r="C45" s="43" t="s">
        <v>9</v>
      </c>
      <c r="D45" s="43" t="s">
        <v>2</v>
      </c>
      <c r="E45" s="80">
        <f>SUM('Таблица №10'!G289)</f>
        <v>0</v>
      </c>
      <c r="F45" s="80">
        <f>SUM('Таблица №10'!H289)</f>
        <v>0</v>
      </c>
      <c r="G45" s="80">
        <f>SUM('Таблица №10'!I289)</f>
        <v>0</v>
      </c>
      <c r="H45" s="80">
        <f>SUM('Таблица №10'!J289)</f>
        <v>0</v>
      </c>
      <c r="I45" s="80">
        <f>SUM('Таблица №10'!K289)</f>
        <v>0</v>
      </c>
    </row>
    <row r="46" spans="1:9" ht="35.25" customHeight="1">
      <c r="A46" s="56" t="str">
        <f>'Таблица №10'!A251</f>
        <v>Муниципальная программа "Развитие народных художественных промыслов Алексеевского муниципального района на 2019-2023 годы"</v>
      </c>
      <c r="B46" s="81" t="s">
        <v>5</v>
      </c>
      <c r="C46" s="81" t="s">
        <v>9</v>
      </c>
      <c r="D46" s="81" t="s">
        <v>183</v>
      </c>
      <c r="E46" s="82">
        <f>SUM('Таблица №10'!G251)</f>
        <v>0</v>
      </c>
      <c r="F46" s="82">
        <f>SUM('Таблица №10'!H251)</f>
        <v>50</v>
      </c>
      <c r="G46" s="82">
        <f>SUM('Таблица №10'!I251)</f>
        <v>0</v>
      </c>
      <c r="H46" s="82">
        <f>SUM('Таблица №10'!J251)</f>
        <v>50</v>
      </c>
      <c r="I46" s="82">
        <f>SUM('Таблица №10'!K251)</f>
        <v>50</v>
      </c>
    </row>
    <row r="47" spans="1:9" ht="36" customHeight="1">
      <c r="A47" s="63" t="s">
        <v>198</v>
      </c>
      <c r="B47" s="43" t="s">
        <v>5</v>
      </c>
      <c r="C47" s="43" t="s">
        <v>9</v>
      </c>
      <c r="D47" s="43" t="s">
        <v>2</v>
      </c>
      <c r="E47" s="80">
        <f>SUM('Таблица №10'!G252)</f>
        <v>0</v>
      </c>
      <c r="F47" s="80">
        <f>SUM('Таблица №10'!H252)</f>
        <v>50</v>
      </c>
      <c r="G47" s="80">
        <f>SUM('Таблица №10'!I252)</f>
        <v>0</v>
      </c>
      <c r="H47" s="80">
        <f>SUM('Таблица №10'!J252)</f>
        <v>50</v>
      </c>
      <c r="I47" s="80">
        <f>SUM('Таблица №10'!K252)</f>
        <v>50</v>
      </c>
    </row>
    <row r="48" spans="1:9" ht="39" customHeight="1">
      <c r="A48" s="56" t="str">
        <f>'Таблица №10'!A253</f>
        <v>Муниципальная программа "О поддержке деятельности казачьих обществ Алексеевского муниципального района на 2019-2023 годы"</v>
      </c>
      <c r="B48" s="43" t="s">
        <v>4</v>
      </c>
      <c r="C48" s="43" t="s">
        <v>9</v>
      </c>
      <c r="D48" s="43" t="s">
        <v>183</v>
      </c>
      <c r="E48" s="82">
        <f>SUM('Таблица №10'!G253)</f>
        <v>-50</v>
      </c>
      <c r="F48" s="82">
        <f>SUM('Таблица №10'!H253)</f>
        <v>50</v>
      </c>
      <c r="G48" s="82">
        <f>SUM('Таблица №10'!I253)</f>
        <v>-50</v>
      </c>
      <c r="H48" s="82">
        <f>SUM('Таблица №10'!J253)</f>
        <v>50</v>
      </c>
      <c r="I48" s="82">
        <f>SUM('Таблица №10'!K253)</f>
        <v>50</v>
      </c>
    </row>
    <row r="49" spans="1:9" ht="27" customHeight="1">
      <c r="A49" s="63" t="s">
        <v>199</v>
      </c>
      <c r="B49" s="43" t="s">
        <v>4</v>
      </c>
      <c r="C49" s="43">
        <f>'Таблица №10'!E313</f>
        <v>0</v>
      </c>
      <c r="D49" s="43" t="s">
        <v>2</v>
      </c>
      <c r="E49" s="80">
        <f>SUM('Таблица №10'!G254)</f>
        <v>-50</v>
      </c>
      <c r="F49" s="80">
        <f>SUM('Таблица №10'!H254)</f>
        <v>50</v>
      </c>
      <c r="G49" s="80">
        <f>SUM('Таблица №10'!I254)</f>
        <v>-50</v>
      </c>
      <c r="H49" s="80">
        <f>SUM('Таблица №10'!J254)</f>
        <v>50</v>
      </c>
      <c r="I49" s="80">
        <f>SUM('Таблица №10'!K254)</f>
        <v>50</v>
      </c>
    </row>
    <row r="50" spans="1:9" ht="74.25" customHeight="1">
      <c r="A50" s="56" t="str">
        <f>'Таблица №10'!A278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50" s="81" t="s">
        <v>7</v>
      </c>
      <c r="C50" s="81">
        <f>'Таблица №10'!E116</f>
        <v>0</v>
      </c>
      <c r="D50" s="81" t="s">
        <v>183</v>
      </c>
      <c r="E50" s="82">
        <f>SUM('Таблица №10'!G278)</f>
        <v>400</v>
      </c>
      <c r="F50" s="82">
        <f>SUM('Таблица №10'!H278)</f>
        <v>500</v>
      </c>
      <c r="G50" s="82">
        <f>SUM('Таблица №10'!I278)</f>
        <v>0</v>
      </c>
      <c r="H50" s="82">
        <f>SUM('Таблица №10'!J278)</f>
        <v>100</v>
      </c>
      <c r="I50" s="82">
        <f>SUM('Таблица №10'!K278)</f>
        <v>100</v>
      </c>
    </row>
    <row r="51" spans="1:9" ht="72" customHeight="1">
      <c r="A51" s="63" t="s">
        <v>200</v>
      </c>
      <c r="B51" s="43" t="s">
        <v>7</v>
      </c>
      <c r="C51" s="43" t="s">
        <v>9</v>
      </c>
      <c r="D51" s="43" t="s">
        <v>2</v>
      </c>
      <c r="E51" s="80">
        <f>SUM('Таблица №10'!G279)</f>
        <v>400</v>
      </c>
      <c r="F51" s="80">
        <f>SUM('Таблица №10'!H279)</f>
        <v>500</v>
      </c>
      <c r="G51" s="80">
        <f>SUM('Таблица №10'!I279)</f>
        <v>0</v>
      </c>
      <c r="H51" s="80">
        <f>SUM('Таблица №10'!J279)</f>
        <v>100</v>
      </c>
      <c r="I51" s="80">
        <f>SUM('Таблица №10'!K279)</f>
        <v>100</v>
      </c>
    </row>
    <row r="52" spans="1:9" ht="24" customHeight="1">
      <c r="A52" s="56" t="str">
        <f>'Таблица №10'!A68</f>
        <v>Муниципальная программа "Маршрут Победы на 2019-2023 годы"</v>
      </c>
      <c r="B52" s="81" t="s">
        <v>10</v>
      </c>
      <c r="C52" s="81" t="s">
        <v>9</v>
      </c>
      <c r="D52" s="81" t="s">
        <v>183</v>
      </c>
      <c r="E52" s="82">
        <f>SUM('Таблица №10'!G68)</f>
        <v>0</v>
      </c>
      <c r="F52" s="82">
        <f>SUM('Таблица №10'!H68)</f>
        <v>100</v>
      </c>
      <c r="G52" s="82">
        <f>SUM('Таблица №10'!I68)</f>
        <v>0</v>
      </c>
      <c r="H52" s="82">
        <f>SUM('Таблица №10'!J68)</f>
        <v>100</v>
      </c>
      <c r="I52" s="82">
        <f>SUM('Таблица №10'!K68)</f>
        <v>100</v>
      </c>
    </row>
    <row r="53" spans="1:9" ht="50.25" customHeight="1">
      <c r="A53" s="63" t="s">
        <v>280</v>
      </c>
      <c r="B53" s="43" t="s">
        <v>10</v>
      </c>
      <c r="C53" s="43" t="s">
        <v>9</v>
      </c>
      <c r="D53" s="43" t="s">
        <v>2</v>
      </c>
      <c r="E53" s="80">
        <f>SUM('Таблица №10'!G69)</f>
        <v>0</v>
      </c>
      <c r="F53" s="80">
        <f>SUM('Таблица №10'!H69)</f>
        <v>100</v>
      </c>
      <c r="G53" s="80">
        <f>SUM('Таблица №10'!I69)</f>
        <v>0</v>
      </c>
      <c r="H53" s="80">
        <f>SUM('Таблица №10'!J69)</f>
        <v>100</v>
      </c>
      <c r="I53" s="80">
        <f>SUM('Таблица №10'!K69)</f>
        <v>100</v>
      </c>
    </row>
    <row r="54" spans="1:9" ht="40.5" customHeight="1">
      <c r="A54" s="62" t="str">
        <f>'Таблица №10'!A312</f>
        <v>Муниципальная программа "Развитие физической культуры и спорта в Алексеевском муниципальном районе на 2019-2023 годы"</v>
      </c>
      <c r="B54" s="81" t="s">
        <v>18</v>
      </c>
      <c r="C54" s="81" t="s">
        <v>9</v>
      </c>
      <c r="D54" s="81" t="s">
        <v>183</v>
      </c>
      <c r="E54" s="82">
        <f>SUM(E55+E56+E57)</f>
        <v>0</v>
      </c>
      <c r="F54" s="82">
        <f>SUM(F55+F56+F57)</f>
        <v>500</v>
      </c>
      <c r="G54" s="82">
        <f>SUM(G55+G56+G57)</f>
        <v>0</v>
      </c>
      <c r="H54" s="82">
        <f>SUM(H55+H56+H57)</f>
        <v>500</v>
      </c>
      <c r="I54" s="82">
        <f>SUM(I55+I56+I57)</f>
        <v>500</v>
      </c>
    </row>
    <row r="55" spans="1:9" ht="48.75" customHeight="1">
      <c r="A55" s="63" t="s">
        <v>201</v>
      </c>
      <c r="B55" s="43" t="s">
        <v>18</v>
      </c>
      <c r="C55" s="43" t="s">
        <v>9</v>
      </c>
      <c r="D55" s="43" t="s">
        <v>2</v>
      </c>
      <c r="E55" s="80">
        <f>SUM('Таблица №10'!G313)</f>
        <v>0</v>
      </c>
      <c r="F55" s="80">
        <f>SUM('Таблица №10'!H313)</f>
        <v>500</v>
      </c>
      <c r="G55" s="80">
        <f>SUM('Таблица №10'!I313)</f>
        <v>0</v>
      </c>
      <c r="H55" s="80">
        <f>SUM('Таблица №10'!J313)</f>
        <v>500</v>
      </c>
      <c r="I55" s="80">
        <f>SUM('Таблица №10'!K313)</f>
        <v>500</v>
      </c>
    </row>
    <row r="56" spans="1:9" ht="0.75" customHeight="1" hidden="1">
      <c r="A56" s="63" t="s">
        <v>306</v>
      </c>
      <c r="B56" s="43" t="s">
        <v>18</v>
      </c>
      <c r="C56" s="43" t="s">
        <v>9</v>
      </c>
      <c r="D56" s="43" t="s">
        <v>307</v>
      </c>
      <c r="E56" s="80">
        <f>SUM('Таблица №10'!G308)</f>
        <v>0</v>
      </c>
      <c r="F56" s="80">
        <f>SUM('Таблица №10'!H308)</f>
        <v>0</v>
      </c>
      <c r="G56" s="80">
        <f>SUM('Таблица №10'!I308)</f>
        <v>0</v>
      </c>
      <c r="H56" s="80">
        <f>SUM('Таблица №10'!J308)</f>
        <v>0</v>
      </c>
      <c r="I56" s="80">
        <f>SUM('Таблица №10'!K308)</f>
        <v>0</v>
      </c>
    </row>
    <row r="57" spans="1:9" ht="74.25" customHeight="1" hidden="1">
      <c r="A57" s="63" t="s">
        <v>309</v>
      </c>
      <c r="B57" s="43" t="s">
        <v>18</v>
      </c>
      <c r="C57" s="43" t="s">
        <v>9</v>
      </c>
      <c r="D57" s="43" t="s">
        <v>308</v>
      </c>
      <c r="E57" s="80">
        <f>SUM('Таблица №10'!G187+'Таблица №10'!G188)</f>
        <v>0</v>
      </c>
      <c r="F57" s="80">
        <f>SUM('Таблица №10'!H187+'Таблица №10'!H188)</f>
        <v>0</v>
      </c>
      <c r="G57" s="80">
        <f>SUM('Таблица №10'!I187+'Таблица №10'!I188)</f>
        <v>0</v>
      </c>
      <c r="H57" s="80">
        <f>SUM('Таблица №10'!J187+'Таблица №10'!J188)</f>
        <v>0</v>
      </c>
      <c r="I57" s="80">
        <f>SUM('Таблица №10'!K187+'Таблица №10'!K188)</f>
        <v>0</v>
      </c>
    </row>
    <row r="58" spans="1:9" ht="51" customHeight="1">
      <c r="A58" s="62" t="str">
        <f>'Таблица №10'!A115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58" s="81" t="s">
        <v>154</v>
      </c>
      <c r="C58" s="81" t="s">
        <v>9</v>
      </c>
      <c r="D58" s="81" t="s">
        <v>183</v>
      </c>
      <c r="E58" s="82">
        <f>SUM('Таблица №10'!G115)</f>
        <v>5304.1</v>
      </c>
      <c r="F58" s="82">
        <f>SUM('Таблица №10'!H115)</f>
        <v>23742.4</v>
      </c>
      <c r="G58" s="82">
        <f>SUM('Таблица №10'!I115)</f>
        <v>5194.1</v>
      </c>
      <c r="H58" s="82">
        <f>SUM('Таблица №10'!J115)</f>
        <v>24242.6</v>
      </c>
      <c r="I58" s="82">
        <f>SUM('Таблица №10'!K115)</f>
        <v>24346.7</v>
      </c>
    </row>
    <row r="59" spans="1:9" ht="39.75" customHeight="1">
      <c r="A59" s="63" t="s">
        <v>248</v>
      </c>
      <c r="B59" s="43" t="s">
        <v>154</v>
      </c>
      <c r="C59" s="43" t="s">
        <v>9</v>
      </c>
      <c r="D59" s="43" t="s">
        <v>2</v>
      </c>
      <c r="E59" s="80">
        <f>SUM('Таблица №10'!G115)</f>
        <v>5304.1</v>
      </c>
      <c r="F59" s="80">
        <f>SUM('Таблица №10'!H115)</f>
        <v>23742.4</v>
      </c>
      <c r="G59" s="80">
        <f>SUM('Таблица №10'!I115)</f>
        <v>5194.1</v>
      </c>
      <c r="H59" s="80">
        <f>SUM('Таблица №10'!J115)</f>
        <v>24242.6</v>
      </c>
      <c r="I59" s="80">
        <f>SUM('Таблица №10'!K115)</f>
        <v>24346.7</v>
      </c>
    </row>
    <row r="60" spans="1:9" ht="54" customHeight="1">
      <c r="A60" s="62" t="str">
        <f>'Таблица №10'!A70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60" s="81" t="s">
        <v>156</v>
      </c>
      <c r="C60" s="81" t="s">
        <v>9</v>
      </c>
      <c r="D60" s="81" t="s">
        <v>183</v>
      </c>
      <c r="E60" s="82">
        <f>SUM(E61+E63)</f>
        <v>0</v>
      </c>
      <c r="F60" s="82">
        <f>SUM(F61+F63)</f>
        <v>50</v>
      </c>
      <c r="G60" s="82">
        <f>SUM(G61+G63)</f>
        <v>0</v>
      </c>
      <c r="H60" s="82">
        <f>SUM(H61+H63)</f>
        <v>50</v>
      </c>
      <c r="I60" s="82">
        <f>SUM(I61+I63)</f>
        <v>50</v>
      </c>
    </row>
    <row r="61" spans="1:9" ht="18" customHeight="1">
      <c r="A61" s="62" t="str">
        <f>'Таблица №10'!A71</f>
        <v>Подпрограмма "Профилактика правонарушений"</v>
      </c>
      <c r="B61" s="81" t="s">
        <v>156</v>
      </c>
      <c r="C61" s="81" t="s">
        <v>186</v>
      </c>
      <c r="D61" s="81" t="s">
        <v>183</v>
      </c>
      <c r="E61" s="82">
        <f>SUM('Таблица №10'!G71)</f>
        <v>0</v>
      </c>
      <c r="F61" s="82">
        <f>SUM('Таблица №10'!H71)</f>
        <v>35</v>
      </c>
      <c r="G61" s="82">
        <f>SUM('Таблица №10'!I71)</f>
        <v>0</v>
      </c>
      <c r="H61" s="82">
        <f>SUM('Таблица №10'!J71)</f>
        <v>35</v>
      </c>
      <c r="I61" s="82">
        <f>SUM('Таблица №10'!K71)</f>
        <v>35</v>
      </c>
    </row>
    <row r="62" spans="1:9" ht="30.75" customHeight="1">
      <c r="A62" s="63" t="s">
        <v>287</v>
      </c>
      <c r="B62" s="43" t="s">
        <v>156</v>
      </c>
      <c r="C62" s="43" t="s">
        <v>186</v>
      </c>
      <c r="D62" s="43" t="s">
        <v>2</v>
      </c>
      <c r="E62" s="80">
        <f>SUM('Таблица №10'!G72)</f>
        <v>0</v>
      </c>
      <c r="F62" s="80">
        <f>SUM('Таблица №10'!H72)</f>
        <v>35</v>
      </c>
      <c r="G62" s="80">
        <f>SUM('Таблица №10'!I72)</f>
        <v>0</v>
      </c>
      <c r="H62" s="80">
        <f>SUM('Таблица №10'!J72)</f>
        <v>35</v>
      </c>
      <c r="I62" s="80">
        <f>SUM('Таблица №10'!K72)</f>
        <v>35</v>
      </c>
    </row>
    <row r="63" spans="1:9" ht="24.75" customHeight="1">
      <c r="A63" s="62" t="str">
        <f>'Таблица №10'!A73</f>
        <v>Подпрограмма "Формирование законопослушного поведения участников дорожного движения"</v>
      </c>
      <c r="B63" s="81" t="s">
        <v>156</v>
      </c>
      <c r="C63" s="81" t="s">
        <v>187</v>
      </c>
      <c r="D63" s="81" t="s">
        <v>183</v>
      </c>
      <c r="E63" s="82">
        <f>SUM('Таблица №10'!G73+'Таблица №10'!G120)</f>
        <v>0</v>
      </c>
      <c r="F63" s="82">
        <f>SUM('Таблица №10'!H73+'Таблица №10'!H120)</f>
        <v>15</v>
      </c>
      <c r="G63" s="82">
        <f>SUM('Таблица №10'!I73+'Таблица №10'!I120)</f>
        <v>0</v>
      </c>
      <c r="H63" s="82">
        <f>SUM('Таблица №10'!J73+'Таблица №10'!J120)</f>
        <v>15</v>
      </c>
      <c r="I63" s="82">
        <f>SUM('Таблица №10'!K73+'Таблица №10'!K120)</f>
        <v>15</v>
      </c>
    </row>
    <row r="64" spans="1:9" ht="33" customHeight="1">
      <c r="A64" s="63" t="s">
        <v>283</v>
      </c>
      <c r="B64" s="43" t="s">
        <v>156</v>
      </c>
      <c r="C64" s="43" t="s">
        <v>187</v>
      </c>
      <c r="D64" s="43" t="s">
        <v>2</v>
      </c>
      <c r="E64" s="80">
        <f>SUM('Таблица №10'!G74+'Таблица №10'!G121)</f>
        <v>0</v>
      </c>
      <c r="F64" s="80">
        <f>SUM('Таблица №10'!H74+'Таблица №10'!H121)</f>
        <v>15</v>
      </c>
      <c r="G64" s="80">
        <f>SUM('Таблица №10'!I74+'Таблица №10'!I121)</f>
        <v>0</v>
      </c>
      <c r="H64" s="80">
        <f>SUM('Таблица №10'!J74+'Таблица №10'!J121)</f>
        <v>15</v>
      </c>
      <c r="I64" s="80">
        <f>SUM('Таблица №10'!K74+'Таблица №10'!K121)</f>
        <v>15</v>
      </c>
    </row>
    <row r="65" spans="1:9" ht="39.75" customHeight="1" hidden="1">
      <c r="A65" s="62" t="str">
        <f>'Таблица №10'!A75</f>
        <v>Муниципальная программа "Улучшение условий и охраны труда в Алексеевском муниципальном районе на 2017-2019 годы"</v>
      </c>
      <c r="B65" s="81" t="s">
        <v>226</v>
      </c>
      <c r="C65" s="81" t="s">
        <v>9</v>
      </c>
      <c r="D65" s="81" t="s">
        <v>183</v>
      </c>
      <c r="E65" s="82">
        <f>SUM('Таблица №10'!G75)</f>
        <v>0</v>
      </c>
      <c r="F65" s="82">
        <f>SUM('Таблица №10'!H75)</f>
        <v>0</v>
      </c>
      <c r="G65" s="82">
        <f>SUM('Таблица №10'!I75)</f>
        <v>0</v>
      </c>
      <c r="H65" s="82">
        <f>SUM('Таблица №10'!J75)</f>
        <v>0</v>
      </c>
      <c r="I65" s="82">
        <f>SUM('Таблица №10'!K75)</f>
        <v>0</v>
      </c>
    </row>
    <row r="66" spans="1:9" ht="63.75" customHeight="1" hidden="1">
      <c r="A66" s="64" t="s">
        <v>225</v>
      </c>
      <c r="B66" s="43" t="s">
        <v>226</v>
      </c>
      <c r="C66" s="43" t="s">
        <v>9</v>
      </c>
      <c r="D66" s="43" t="s">
        <v>2</v>
      </c>
      <c r="E66" s="80">
        <f>SUM('Таблица №10'!G76)</f>
        <v>0</v>
      </c>
      <c r="F66" s="80">
        <f>SUM('Таблица №10'!H76)</f>
        <v>0</v>
      </c>
      <c r="G66" s="80">
        <f>SUM('Таблица №10'!I76)</f>
        <v>0</v>
      </c>
      <c r="H66" s="80">
        <f>SUM('Таблица №10'!J76)</f>
        <v>0</v>
      </c>
      <c r="I66" s="80">
        <f>SUM('Таблица №10'!K76)</f>
        <v>0</v>
      </c>
    </row>
    <row r="67" spans="1:9" ht="108" customHeight="1">
      <c r="A67" s="62" t="str">
        <f>'Таблица №10'!A161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67" s="81" t="s">
        <v>210</v>
      </c>
      <c r="C67" s="81" t="s">
        <v>9</v>
      </c>
      <c r="D67" s="81" t="s">
        <v>183</v>
      </c>
      <c r="E67" s="82">
        <f>SUM(E68:E69)</f>
        <v>134.311</v>
      </c>
      <c r="F67" s="82">
        <f>SUM(F68:F69)</f>
        <v>1035.111</v>
      </c>
      <c r="G67" s="82">
        <f>SUM(G68:G69)</f>
        <v>134.311</v>
      </c>
      <c r="H67" s="82">
        <f>SUM(H68:H69)</f>
        <v>1035.111</v>
      </c>
      <c r="I67" s="82">
        <f>SUM(I68:I69)</f>
        <v>1035.111</v>
      </c>
    </row>
    <row r="68" spans="1:9" ht="73.5" customHeight="1">
      <c r="A68" s="63" t="s">
        <v>249</v>
      </c>
      <c r="B68" s="43" t="s">
        <v>210</v>
      </c>
      <c r="C68" s="43" t="s">
        <v>9</v>
      </c>
      <c r="D68" s="43" t="s">
        <v>2</v>
      </c>
      <c r="E68" s="80">
        <f>SUM('Таблица №10'!G162+'Таблица №10'!G189)-E69</f>
        <v>134.311</v>
      </c>
      <c r="F68" s="80">
        <f>SUM('Таблица №10'!H162+'Таблица №10'!H189)-F69</f>
        <v>403.19100000000014</v>
      </c>
      <c r="G68" s="80">
        <f>SUM('Таблица №10'!I162+'Таблица №10'!I189)-G69</f>
        <v>134.311</v>
      </c>
      <c r="H68" s="80">
        <f>SUM('Таблица №10'!J162+'Таблица №10'!J189)-H69</f>
        <v>403.19100000000014</v>
      </c>
      <c r="I68" s="80">
        <f>SUM('Таблица №10'!K162+'Таблица №10'!K189)-I69</f>
        <v>403.19100000000014</v>
      </c>
    </row>
    <row r="69" spans="1:9" ht="62.25" customHeight="1">
      <c r="A69" s="63" t="s">
        <v>319</v>
      </c>
      <c r="B69" s="43" t="s">
        <v>210</v>
      </c>
      <c r="C69" s="43" t="s">
        <v>9</v>
      </c>
      <c r="D69" s="43" t="s">
        <v>6</v>
      </c>
      <c r="E69" s="80">
        <v>0</v>
      </c>
      <c r="F69" s="80">
        <v>631.92</v>
      </c>
      <c r="G69" s="80">
        <v>0</v>
      </c>
      <c r="H69" s="80">
        <v>631.92</v>
      </c>
      <c r="I69" s="80">
        <v>631.92</v>
      </c>
    </row>
    <row r="70" spans="1:9" ht="40.5" customHeight="1">
      <c r="A70" s="62" t="str">
        <f>'Таблица №10'!A77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70" s="81" t="s">
        <v>190</v>
      </c>
      <c r="C70" s="81">
        <f>'Таблица №10'!E133</f>
        <v>0</v>
      </c>
      <c r="D70" s="81" t="s">
        <v>183</v>
      </c>
      <c r="E70" s="82">
        <f>SUM('Таблица №10'!G77)</f>
        <v>0</v>
      </c>
      <c r="F70" s="82">
        <f>SUM('Таблица №10'!H77)</f>
        <v>50</v>
      </c>
      <c r="G70" s="82">
        <f>SUM('Таблица №10'!I77)</f>
        <v>0</v>
      </c>
      <c r="H70" s="82">
        <f>SUM('Таблица №10'!J77)</f>
        <v>50</v>
      </c>
      <c r="I70" s="82">
        <f>SUM('Таблица №10'!K77)</f>
        <v>50</v>
      </c>
    </row>
    <row r="71" spans="1:9" ht="36">
      <c r="A71" s="63" t="s">
        <v>202</v>
      </c>
      <c r="B71" s="43" t="s">
        <v>190</v>
      </c>
      <c r="C71" s="43" t="s">
        <v>9</v>
      </c>
      <c r="D71" s="43" t="s">
        <v>2</v>
      </c>
      <c r="E71" s="80">
        <f>SUM('Таблица №10'!G78)</f>
        <v>0</v>
      </c>
      <c r="F71" s="80">
        <f>SUM('Таблица №10'!H78)</f>
        <v>50</v>
      </c>
      <c r="G71" s="80">
        <f>SUM('Таблица №10'!I78)</f>
        <v>0</v>
      </c>
      <c r="H71" s="80">
        <f>SUM('Таблица №10'!J78)</f>
        <v>50</v>
      </c>
      <c r="I71" s="80">
        <f>SUM('Таблица №10'!K78)</f>
        <v>50</v>
      </c>
    </row>
    <row r="72" spans="1:9" ht="12.75">
      <c r="A72" s="55" t="s">
        <v>101</v>
      </c>
      <c r="B72" s="43"/>
      <c r="C72" s="44"/>
      <c r="D72" s="85"/>
      <c r="E72" s="82">
        <f>SUM(E9+E11+E23+E27+E30+E44+E46+E48+E50+E52+E54+E58+E60+E67+E70+E39+E65+E41+E20)</f>
        <v>14698.378060000001</v>
      </c>
      <c r="F72" s="82">
        <f>SUM(F9+F11+F23+F27+F30+F44+F46+F48+F50+F52+F54+F58+F60+F67+F70+F39+F65+F41+F20)</f>
        <v>164606.18206</v>
      </c>
      <c r="G72" s="82">
        <f>SUM(G9+G11+G23+G27+G30+G44+G46+G48+G50+G52+G54+G58+G60+G67+G70+G39+G65+G41+G20)</f>
        <v>14996.411</v>
      </c>
      <c r="H72" s="82">
        <f>SUM(H9+H11+H23+H27+H30+H44+H46+H48+H50+H52+H54+H58+H60+H67+H70+H39+H65+H41+H20)</f>
        <v>42315.710999999996</v>
      </c>
      <c r="I72" s="82">
        <f>SUM(I9+I11+I23+I27+I30+I44+I46+I48+I50+I52+I54+I58+I60+I67+I70+I39+I65+I41+I20)</f>
        <v>36919.810999999994</v>
      </c>
    </row>
    <row r="73" ht="15">
      <c r="D73" s="18"/>
    </row>
    <row r="74" spans="1:9" s="15" customFormat="1" ht="15">
      <c r="A74" s="7"/>
      <c r="B74" s="12"/>
      <c r="C74" s="13"/>
      <c r="D74" s="18"/>
      <c r="F74" s="2"/>
      <c r="G74" s="2"/>
      <c r="H74" s="2"/>
      <c r="I74" s="2"/>
    </row>
    <row r="75" spans="1:9" s="15" customFormat="1" ht="15">
      <c r="A75" s="7"/>
      <c r="B75" s="12"/>
      <c r="C75" s="13"/>
      <c r="D75" s="18"/>
      <c r="F75" s="2"/>
      <c r="G75" s="2"/>
      <c r="H75" s="2"/>
      <c r="I75" s="2"/>
    </row>
    <row r="76" ht="15">
      <c r="D76" s="18"/>
    </row>
    <row r="77" ht="15">
      <c r="D77" s="18"/>
    </row>
  </sheetData>
  <sheetProtection/>
  <mergeCells count="6">
    <mergeCell ref="E7:H7"/>
    <mergeCell ref="A5:H5"/>
    <mergeCell ref="C1:I1"/>
    <mergeCell ref="C2:I2"/>
    <mergeCell ref="C3:I3"/>
    <mergeCell ref="C4:I4"/>
  </mergeCells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44"/>
  <sheetViews>
    <sheetView showGridLines="0" zoomScale="110" zoomScaleNormal="110" zoomScalePageLayoutView="0" workbookViewId="0" topLeftCell="A1">
      <pane ySplit="8" topLeftCell="A9" activePane="bottomLeft" state="frozen"/>
      <selection pane="topLeft" activeCell="A1" sqref="A1"/>
      <selection pane="bottomLeft" activeCell="F15" sqref="F15"/>
    </sheetView>
  </sheetViews>
  <sheetFormatPr defaultColWidth="9.140625" defaultRowHeight="12.75" outlineLevelRow="5"/>
  <cols>
    <col min="1" max="1" width="46.421875" style="7" customWidth="1"/>
    <col min="2" max="2" width="7.28125" style="12" customWidth="1"/>
    <col min="3" max="3" width="5.421875" style="13" customWidth="1"/>
    <col min="4" max="4" width="6.140625" style="11" customWidth="1"/>
    <col min="5" max="5" width="9.8515625" style="15" hidden="1" customWidth="1"/>
    <col min="6" max="6" width="11.8515625" style="2" customWidth="1"/>
    <col min="7" max="7" width="8.28125" style="2" hidden="1" customWidth="1"/>
    <col min="8" max="9" width="11.7109375" style="2" customWidth="1"/>
    <col min="10" max="16384" width="9.140625" style="2" customWidth="1"/>
  </cols>
  <sheetData>
    <row r="1" spans="3:9" ht="16.5">
      <c r="C1" s="125" t="s">
        <v>233</v>
      </c>
      <c r="D1" s="125"/>
      <c r="E1" s="125"/>
      <c r="F1" s="125"/>
      <c r="G1" s="125"/>
      <c r="H1" s="125"/>
      <c r="I1" s="125"/>
    </row>
    <row r="2" spans="3:9" ht="16.5">
      <c r="C2" s="125" t="s">
        <v>125</v>
      </c>
      <c r="D2" s="125"/>
      <c r="E2" s="125"/>
      <c r="F2" s="125"/>
      <c r="G2" s="125"/>
      <c r="H2" s="125"/>
      <c r="I2" s="125"/>
    </row>
    <row r="3" spans="3:9" ht="16.5">
      <c r="C3" s="125" t="s">
        <v>126</v>
      </c>
      <c r="D3" s="125"/>
      <c r="E3" s="125"/>
      <c r="F3" s="125"/>
      <c r="G3" s="125"/>
      <c r="H3" s="125"/>
      <c r="I3" s="125"/>
    </row>
    <row r="4" spans="1:9" ht="21.75" customHeight="1">
      <c r="A4" s="8"/>
      <c r="B4" s="1"/>
      <c r="C4" s="125" t="s">
        <v>157</v>
      </c>
      <c r="D4" s="125"/>
      <c r="E4" s="125"/>
      <c r="F4" s="125"/>
      <c r="G4" s="125"/>
      <c r="H4" s="125"/>
      <c r="I4" s="125"/>
    </row>
    <row r="5" spans="1:9" ht="39.75" customHeight="1">
      <c r="A5" s="122" t="s">
        <v>334</v>
      </c>
      <c r="B5" s="122"/>
      <c r="C5" s="122"/>
      <c r="D5" s="122"/>
      <c r="E5" s="122"/>
      <c r="F5" s="122"/>
      <c r="G5" s="122"/>
      <c r="H5" s="122"/>
      <c r="I5" s="122"/>
    </row>
    <row r="6" spans="1:5" ht="12.75" hidden="1">
      <c r="A6" s="32"/>
      <c r="B6" s="33"/>
      <c r="C6" s="34"/>
      <c r="D6" s="36"/>
      <c r="E6" s="35"/>
    </row>
    <row r="7" spans="1:9" ht="12.75">
      <c r="A7" s="32"/>
      <c r="B7" s="33"/>
      <c r="C7" s="34"/>
      <c r="D7" s="36"/>
      <c r="E7" s="127"/>
      <c r="F7" s="127"/>
      <c r="G7" s="127"/>
      <c r="H7" s="127"/>
      <c r="I7" s="96" t="s">
        <v>313</v>
      </c>
    </row>
    <row r="8" spans="1:9" ht="81" customHeight="1">
      <c r="A8" s="42" t="s">
        <v>1</v>
      </c>
      <c r="B8" s="46" t="s">
        <v>221</v>
      </c>
      <c r="C8" s="44" t="s">
        <v>288</v>
      </c>
      <c r="D8" s="46" t="s">
        <v>173</v>
      </c>
      <c r="E8" s="54" t="s">
        <v>294</v>
      </c>
      <c r="F8" s="37" t="s">
        <v>256</v>
      </c>
      <c r="G8" s="54" t="s">
        <v>336</v>
      </c>
      <c r="H8" s="37" t="s">
        <v>293</v>
      </c>
      <c r="I8" s="37" t="s">
        <v>333</v>
      </c>
    </row>
    <row r="9" spans="1:9" ht="63" customHeight="1" outlineLevel="5">
      <c r="A9" s="56" t="str">
        <f>'Таблица №10'!A79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2019-2021 годы"</v>
      </c>
      <c r="B9" s="81" t="s">
        <v>14</v>
      </c>
      <c r="C9" s="81" t="s">
        <v>9</v>
      </c>
      <c r="D9" s="81"/>
      <c r="E9" s="82">
        <f>SUM(E10)</f>
        <v>5020</v>
      </c>
      <c r="F9" s="82">
        <f>SUM(F10)</f>
        <v>25020</v>
      </c>
      <c r="G9" s="82">
        <f>SUM(G10)</f>
        <v>10000</v>
      </c>
      <c r="H9" s="82">
        <f>SUM(H10)</f>
        <v>31020</v>
      </c>
      <c r="I9" s="82">
        <f>SUM(I10)</f>
        <v>31020</v>
      </c>
    </row>
    <row r="10" spans="1:9" ht="28.5" customHeight="1" outlineLevel="2">
      <c r="A10" s="55" t="str">
        <f>'Таблица №10'!A80</f>
        <v>Предоставление субсидий бюджетным, автономным учреждениям и иным некоммерческим организациям</v>
      </c>
      <c r="B10" s="43" t="s">
        <v>14</v>
      </c>
      <c r="C10" s="43" t="s">
        <v>9</v>
      </c>
      <c r="D10" s="43" t="s">
        <v>180</v>
      </c>
      <c r="E10" s="80">
        <f>SUM('Таблица №10'!G79)</f>
        <v>5020</v>
      </c>
      <c r="F10" s="80">
        <f>SUM('Таблица №10'!H79)</f>
        <v>25020</v>
      </c>
      <c r="G10" s="80">
        <f>SUM('Таблица №10'!I80)</f>
        <v>10000</v>
      </c>
      <c r="H10" s="80">
        <f>SUM('Таблица №10'!J79)</f>
        <v>31020</v>
      </c>
      <c r="I10" s="80">
        <f>SUM('Таблица №10'!K79)</f>
        <v>31020</v>
      </c>
    </row>
    <row r="11" spans="1:9" ht="35.25" customHeight="1" outlineLevel="1">
      <c r="A11" s="56" t="str">
        <f>'Таблица №10'!A163</f>
        <v>Ведомственная целевая программа "Развитие дошкольного образования детей на территории Алексеевского муниципального района на 2019-2021 годы"</v>
      </c>
      <c r="B11" s="81" t="str">
        <f>'Таблица №10'!D163</f>
        <v>52</v>
      </c>
      <c r="C11" s="81">
        <f>'Таблица №10'!E163</f>
        <v>0</v>
      </c>
      <c r="D11" s="81"/>
      <c r="E11" s="82">
        <f>SUM(E12)</f>
        <v>146.8</v>
      </c>
      <c r="F11" s="82">
        <f>SUM(F12)</f>
        <v>25343</v>
      </c>
      <c r="G11" s="82">
        <f>SUM(G12)</f>
        <v>-1906.2</v>
      </c>
      <c r="H11" s="82">
        <f>SUM(H12)</f>
        <v>23290</v>
      </c>
      <c r="I11" s="82">
        <f>SUM(I12)</f>
        <v>23910.799999999996</v>
      </c>
    </row>
    <row r="12" spans="1:9" ht="27.75" customHeight="1" outlineLevel="1">
      <c r="A12" s="55" t="str">
        <f>'Таблица №10'!A164</f>
        <v>Предоставление субсидий бюджетным, автономным учреждениям и иным некоммерческим организациям</v>
      </c>
      <c r="B12" s="43" t="str">
        <f>'Таблица №10'!D164</f>
        <v>52</v>
      </c>
      <c r="C12" s="43">
        <f>'Таблица №10'!E164</f>
        <v>0</v>
      </c>
      <c r="D12" s="43" t="s">
        <v>180</v>
      </c>
      <c r="E12" s="80">
        <f>SUM('Таблица №10'!G163)</f>
        <v>146.8</v>
      </c>
      <c r="F12" s="80">
        <f>SUM('Таблица №10'!H163)</f>
        <v>25343</v>
      </c>
      <c r="G12" s="80">
        <f>SUM('Таблица №10'!I163)</f>
        <v>-1906.2</v>
      </c>
      <c r="H12" s="80">
        <f>SUM('Таблица №10'!J163)</f>
        <v>23290</v>
      </c>
      <c r="I12" s="80">
        <f>SUM('Таблица №10'!K163)</f>
        <v>23910.799999999996</v>
      </c>
    </row>
    <row r="13" spans="1:9" ht="36" outlineLevel="5">
      <c r="A13" s="56" t="str">
        <f>'Таблица №10'!A192</f>
        <v>Ведомственная целевая программа "Развитие образования детей на территории  Алексеевского муниципального района на 2020-2022 годы"</v>
      </c>
      <c r="B13" s="81" t="str">
        <f>'Таблица №10'!D192</f>
        <v>53</v>
      </c>
      <c r="C13" s="81">
        <f>'Таблица №10'!E192</f>
        <v>0</v>
      </c>
      <c r="D13" s="81"/>
      <c r="E13" s="82">
        <f>SUM(E14+E16+E21)</f>
        <v>24164.099999999995</v>
      </c>
      <c r="F13" s="82">
        <f>SUM(F14+F16+F21)</f>
        <v>196636.2</v>
      </c>
      <c r="G13" s="82">
        <f>SUM(G14+G16+G21)</f>
        <v>7658.099999999997</v>
      </c>
      <c r="H13" s="82">
        <f>SUM(H14+H16+H21)</f>
        <v>178485.8</v>
      </c>
      <c r="I13" s="82">
        <f>SUM(I14+I16+I21)</f>
        <v>167195.7</v>
      </c>
    </row>
    <row r="14" spans="1:9" ht="13.5" customHeight="1" outlineLevel="5">
      <c r="A14" s="56" t="str">
        <f>'Таблица №10'!A170</f>
        <v>Подпрограмма "Развитие дошкольного образования детей"</v>
      </c>
      <c r="B14" s="81" t="str">
        <f>'Таблица №10'!D193</f>
        <v>53</v>
      </c>
      <c r="C14" s="81" t="s">
        <v>186</v>
      </c>
      <c r="D14" s="81"/>
      <c r="E14" s="82">
        <f>SUM(E15)</f>
        <v>708.1</v>
      </c>
      <c r="F14" s="82">
        <f>SUM(F15)</f>
        <v>12192</v>
      </c>
      <c r="G14" s="82">
        <f>SUM(G15)</f>
        <v>-540.5000000000001</v>
      </c>
      <c r="H14" s="82">
        <f>SUM(H15)</f>
        <v>10943.4</v>
      </c>
      <c r="I14" s="82">
        <f>SUM(I15)</f>
        <v>11320.9</v>
      </c>
    </row>
    <row r="15" spans="1:9" ht="24" outlineLevel="5">
      <c r="A15" s="55" t="str">
        <f>'Таблица №10'!A173</f>
        <v>Предоставление субсидий бюджетным, автономным учреждениям и иным некоммерческим организациям</v>
      </c>
      <c r="B15" s="43" t="s">
        <v>20</v>
      </c>
      <c r="C15" s="43" t="s">
        <v>186</v>
      </c>
      <c r="D15" s="43" t="s">
        <v>9</v>
      </c>
      <c r="E15" s="80">
        <f>SUM('Таблица №10'!G169)</f>
        <v>708.1</v>
      </c>
      <c r="F15" s="80">
        <f>SUM('Таблица №10'!H169)</f>
        <v>12192</v>
      </c>
      <c r="G15" s="80">
        <f>SUM('Таблица №10'!I169)</f>
        <v>-540.5000000000001</v>
      </c>
      <c r="H15" s="80">
        <f>SUM('Таблица №10'!J169)</f>
        <v>10943.4</v>
      </c>
      <c r="I15" s="80">
        <f>SUM('Таблица №10'!K169)</f>
        <v>11320.9</v>
      </c>
    </row>
    <row r="16" spans="1:9" ht="15" customHeight="1" outlineLevel="5">
      <c r="A16" s="56" t="str">
        <f>'Таблица №10'!A193</f>
        <v>Подпрограмма "Развитие общего образования детей"</v>
      </c>
      <c r="B16" s="81" t="s">
        <v>20</v>
      </c>
      <c r="C16" s="81" t="s">
        <v>187</v>
      </c>
      <c r="D16" s="81"/>
      <c r="E16" s="82">
        <f>SUM(E17:E20)</f>
        <v>21955.999999999996</v>
      </c>
      <c r="F16" s="82">
        <f>SUM(F17:F20)</f>
        <v>174544.2</v>
      </c>
      <c r="G16" s="82">
        <f>SUM(G17:G20)</f>
        <v>6698.599999999997</v>
      </c>
      <c r="H16" s="82">
        <f>SUM(H17:H20)</f>
        <v>157642.4</v>
      </c>
      <c r="I16" s="82">
        <f>SUM(I17:I20)</f>
        <v>145974.80000000002</v>
      </c>
    </row>
    <row r="17" spans="1:9" ht="49.5" customHeight="1" outlineLevel="5">
      <c r="A17" s="55" t="str">
        <f>'Таблица №10'!A195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" s="43" t="s">
        <v>20</v>
      </c>
      <c r="C17" s="43" t="s">
        <v>187</v>
      </c>
      <c r="D17" s="43" t="s">
        <v>178</v>
      </c>
      <c r="E17" s="80">
        <f>SUM('Таблица №10'!G195+'Таблица №10'!G202+'Таблица №10'!G203+'Таблица №10'!G204)</f>
        <v>24.600000000000136</v>
      </c>
      <c r="F17" s="80">
        <f>SUM('Таблица №10'!H195+'Таблица №10'!H202+'Таблица №10'!H203+'Таблица №10'!H204)</f>
        <v>6994.3</v>
      </c>
      <c r="G17" s="80">
        <f>SUM('Таблица №10'!I195+'Таблица №10'!I202+'Таблица №10'!I203+'Таблица №10'!I204)</f>
        <v>24.600000000000136</v>
      </c>
      <c r="H17" s="80">
        <f>SUM('Таблица №10'!J195+'Таблица №10'!J202+'Таблица №10'!J203+'Таблица №10'!J204)</f>
        <v>6994.3</v>
      </c>
      <c r="I17" s="80">
        <f>SUM('Таблица №10'!K195+'Таблица №10'!K202+'Таблица №10'!K203+'Таблица №10'!K204)</f>
        <v>6213.1</v>
      </c>
    </row>
    <row r="18" spans="1:9" ht="26.25" customHeight="1" outlineLevel="5">
      <c r="A18" s="55" t="str">
        <f>'Таблица №10'!A196</f>
        <v>Закупка товаров, работ и услуг для государственных (муниципальных) нужд</v>
      </c>
      <c r="B18" s="43" t="s">
        <v>20</v>
      </c>
      <c r="C18" s="43" t="s">
        <v>187</v>
      </c>
      <c r="D18" s="43" t="s">
        <v>155</v>
      </c>
      <c r="E18" s="80">
        <f>SUM('Таблица №10'!G196+'Таблица №10'!G205+'Таблица №10'!G206+'Таблица №10'!G207+'Таблица №10'!G197)</f>
        <v>-25.29999999999999</v>
      </c>
      <c r="F18" s="80">
        <f>SUM('Таблица №10'!H196+'Таблица №10'!H205+'Таблица №10'!H206+'Таблица №10'!H207+'Таблица №10'!H197)</f>
        <v>1762.5</v>
      </c>
      <c r="G18" s="80">
        <f>SUM('Таблица №10'!I196+'Таблица №10'!I205+'Таблица №10'!I206+'Таблица №10'!I207+'Таблица №10'!I197)</f>
        <v>24.400000000000013</v>
      </c>
      <c r="H18" s="80">
        <f>SUM('Таблица №10'!J196+'Таблица №10'!J205+'Таблица №10'!J206+'Таблица №10'!J207+'Таблица №10'!J197)</f>
        <v>1770.3000000000002</v>
      </c>
      <c r="I18" s="80">
        <f>SUM('Таблица №10'!K196+'Таблица №10'!K205+'Таблица №10'!K206+'Таблица №10'!K207+'Таблица №10'!K197)</f>
        <v>1666.3000000000002</v>
      </c>
    </row>
    <row r="19" spans="1:9" ht="12.75" customHeight="1" outlineLevel="5">
      <c r="A19" s="55" t="str">
        <f>'Таблица №10'!A198</f>
        <v>Иные бюджетные ассигнования</v>
      </c>
      <c r="B19" s="43" t="s">
        <v>20</v>
      </c>
      <c r="C19" s="43" t="s">
        <v>187</v>
      </c>
      <c r="D19" s="43" t="s">
        <v>179</v>
      </c>
      <c r="E19" s="80">
        <f>SUM('Таблица №10'!G198)</f>
        <v>0</v>
      </c>
      <c r="F19" s="80">
        <f>SUM('Таблица №10'!H198)</f>
        <v>50.2</v>
      </c>
      <c r="G19" s="80">
        <f>SUM('Таблица №10'!I198)</f>
        <v>0</v>
      </c>
      <c r="H19" s="80">
        <f>SUM('Таблица №10'!J198)</f>
        <v>50.2</v>
      </c>
      <c r="I19" s="80">
        <f>SUM('Таблица №10'!K198)</f>
        <v>50.2</v>
      </c>
    </row>
    <row r="20" spans="1:9" ht="26.25" customHeight="1" outlineLevel="5">
      <c r="A20" s="55" t="str">
        <f>'Таблица №10'!A199</f>
        <v>Предоставление субсидий бюджетным, автономным учреждениям и иным некоммерческим организациям</v>
      </c>
      <c r="B20" s="43" t="s">
        <v>20</v>
      </c>
      <c r="C20" s="43" t="s">
        <v>187</v>
      </c>
      <c r="D20" s="43" t="s">
        <v>180</v>
      </c>
      <c r="E20" s="80">
        <f>SUM('Таблица №10'!G199+'Таблица №10'!G209+'Таблица №10'!G210+'Таблица №10'!G212+'Таблица №10'!G214+'Таблица №10'!G211+'Таблица №10'!G208+'Таблица №10'!G200+'Таблица №10'!G213)</f>
        <v>21956.699999999997</v>
      </c>
      <c r="F20" s="80">
        <f>SUM('Таблица №10'!H199+'Таблица №10'!H209+'Таблица №10'!H210+'Таблица №10'!H212+'Таблица №10'!H214+'Таблица №10'!H211+'Таблица №10'!H208+'Таблица №10'!H200+'Таблица №10'!H213)</f>
        <v>165737.2</v>
      </c>
      <c r="G20" s="80">
        <f>SUM('Таблица №10'!I199+'Таблица №10'!I209+'Таблица №10'!I210+'Таблица №10'!I212+'Таблица №10'!I214+'Таблица №10'!I211+'Таблица №10'!I208+'Таблица №10'!I200+'Таблица №10'!I213)</f>
        <v>6649.599999999997</v>
      </c>
      <c r="H20" s="80">
        <f>SUM('Таблица №10'!J199+'Таблица №10'!J209+'Таблица №10'!J210+'Таблица №10'!J212+'Таблица №10'!J214+'Таблица №10'!J211+'Таблица №10'!J208+'Таблица №10'!J200+'Таблица №10'!J213)</f>
        <v>148827.6</v>
      </c>
      <c r="I20" s="80">
        <f>SUM('Таблица №10'!K199+'Таблица №10'!K209+'Таблица №10'!K210+'Таблица №10'!K212+'Таблица №10'!K214+'Таблица №10'!K211+'Таблица №10'!K208+'Таблица №10'!K200+'Таблица №10'!K213)</f>
        <v>138045.2</v>
      </c>
    </row>
    <row r="21" spans="1:9" ht="24" outlineLevel="3">
      <c r="A21" s="56" t="str">
        <f>'Таблица №10'!A220</f>
        <v>Подпрограмма "Развитие дополнительного образования детей"</v>
      </c>
      <c r="B21" s="81" t="str">
        <f>'Таблица №10'!D219</f>
        <v>53</v>
      </c>
      <c r="C21" s="81" t="s">
        <v>188</v>
      </c>
      <c r="D21" s="81"/>
      <c r="E21" s="82">
        <f>SUM(E22:E23)</f>
        <v>1500</v>
      </c>
      <c r="F21" s="82">
        <f>SUM(F22:F23)</f>
        <v>9900</v>
      </c>
      <c r="G21" s="82">
        <f>SUM(G22:G23)</f>
        <v>1500</v>
      </c>
      <c r="H21" s="82">
        <f>SUM(H22:H23)</f>
        <v>9900</v>
      </c>
      <c r="I21" s="82">
        <f>SUM(I22:I23)</f>
        <v>9900</v>
      </c>
    </row>
    <row r="22" spans="1:9" ht="24.75" customHeight="1" outlineLevel="3">
      <c r="A22" s="55" t="str">
        <f>'Таблица №10'!A221</f>
        <v>Предоставление субсидий бюджетным, автономным учреждениям и иным некоммерческим организациям  (ДШИ)</v>
      </c>
      <c r="B22" s="43" t="str">
        <f>'Таблица №10'!D221</f>
        <v>53</v>
      </c>
      <c r="C22" s="43">
        <f>'Таблица №10'!E221</f>
        <v>3</v>
      </c>
      <c r="D22" s="46">
        <f>'Таблица №10'!F221</f>
        <v>600</v>
      </c>
      <c r="E22" s="80">
        <f>'Таблица №10'!G221</f>
        <v>1500</v>
      </c>
      <c r="F22" s="80">
        <f>'Таблица №10'!H221</f>
        <v>5800</v>
      </c>
      <c r="G22" s="80">
        <f>'Таблица №10'!I221</f>
        <v>1500</v>
      </c>
      <c r="H22" s="80">
        <f>'Таблица №10'!J221</f>
        <v>5800</v>
      </c>
      <c r="I22" s="80">
        <f>'Таблица №10'!K221</f>
        <v>5800</v>
      </c>
    </row>
    <row r="23" spans="1:9" ht="35.25" customHeight="1" outlineLevel="3">
      <c r="A23" s="55" t="str">
        <f>'Таблица №10'!A222</f>
        <v>Предоставление субсидий бюджетным, автономным учреждениям и иным некоммерческим организациям  (ДЮСШ)</v>
      </c>
      <c r="B23" s="43" t="str">
        <f>'Таблица №10'!D222</f>
        <v>53</v>
      </c>
      <c r="C23" s="43">
        <f>'Таблица №10'!E222</f>
        <v>3</v>
      </c>
      <c r="D23" s="46">
        <f>'Таблица №10'!F222</f>
        <v>600</v>
      </c>
      <c r="E23" s="80">
        <f>'Таблица №10'!G222</f>
        <v>0</v>
      </c>
      <c r="F23" s="80">
        <f>'Таблица №10'!H222</f>
        <v>4100</v>
      </c>
      <c r="G23" s="80">
        <f>'Таблица №10'!I222</f>
        <v>0</v>
      </c>
      <c r="H23" s="80">
        <f>'Таблица №10'!J222</f>
        <v>4100</v>
      </c>
      <c r="I23" s="80">
        <f>'Таблица №10'!K222</f>
        <v>4100</v>
      </c>
    </row>
    <row r="24" spans="1:9" ht="36" outlineLevel="3">
      <c r="A24" s="57" t="str">
        <f>'Таблица №10'!A233</f>
        <v>Ведомственная целевая программа "Молодежная политика на территории Алексеевского муниципального района на 2019-2021 годы" (СДЦ)</v>
      </c>
      <c r="B24" s="81" t="str">
        <f>'Таблица №10'!D233</f>
        <v>56</v>
      </c>
      <c r="C24" s="81">
        <f>'Таблица №10'!E233</f>
        <v>0</v>
      </c>
      <c r="D24" s="81"/>
      <c r="E24" s="82">
        <f>SUM(E25)</f>
        <v>1400</v>
      </c>
      <c r="F24" s="82">
        <f>SUM(F25)</f>
        <v>4500</v>
      </c>
      <c r="G24" s="82">
        <f>SUM(G25)</f>
        <v>1400</v>
      </c>
      <c r="H24" s="82">
        <f>SUM(H25)</f>
        <v>4500</v>
      </c>
      <c r="I24" s="82">
        <f>SUM(I25)</f>
        <v>4500</v>
      </c>
    </row>
    <row r="25" spans="1:9" ht="24" outlineLevel="3">
      <c r="A25" s="53" t="str">
        <f>'Таблица №10'!A234</f>
        <v>Предоставление субсидий бюджетным, автономным учреждениям и иным некоммерческим организациям</v>
      </c>
      <c r="B25" s="43" t="str">
        <f>'Таблица №10'!D234</f>
        <v>56</v>
      </c>
      <c r="C25" s="43">
        <f>'Таблица №10'!E234</f>
        <v>0</v>
      </c>
      <c r="D25" s="43">
        <f>'Таблица №10'!F234</f>
        <v>600</v>
      </c>
      <c r="E25" s="80">
        <f>SUM('Таблица №10'!G233)</f>
        <v>1400</v>
      </c>
      <c r="F25" s="80">
        <f>SUM('Таблица №10'!H233)</f>
        <v>4500</v>
      </c>
      <c r="G25" s="80">
        <f>SUM('Таблица №10'!I233)</f>
        <v>1400</v>
      </c>
      <c r="H25" s="80">
        <f>SUM('Таблица №10'!J233)</f>
        <v>4500</v>
      </c>
      <c r="I25" s="80">
        <f>SUM('Таблица №10'!K233)</f>
        <v>4500</v>
      </c>
    </row>
    <row r="26" spans="1:9" ht="48" outlineLevel="3">
      <c r="A26" s="57" t="str">
        <f>'Таблица №10'!A242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2019-2021 годы" </v>
      </c>
      <c r="B26" s="81" t="str">
        <f>'Таблица №10'!D242</f>
        <v>58</v>
      </c>
      <c r="C26" s="81">
        <f>'Таблица №10'!E242</f>
        <v>0</v>
      </c>
      <c r="D26" s="81"/>
      <c r="E26" s="82">
        <f>SUM(E27:E29)</f>
        <v>0</v>
      </c>
      <c r="F26" s="82">
        <f>SUM(F27:F29)</f>
        <v>1295</v>
      </c>
      <c r="G26" s="82">
        <f>SUM(G27:G29)</f>
        <v>0</v>
      </c>
      <c r="H26" s="82">
        <f>SUM(H27:H29)</f>
        <v>1295</v>
      </c>
      <c r="I26" s="82">
        <f>SUM(I27:I29)</f>
        <v>1295</v>
      </c>
    </row>
    <row r="27" spans="1:9" ht="48" outlineLevel="3">
      <c r="A27" s="53" t="str">
        <f>'Таблица №10'!A243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43" t="s">
        <v>22</v>
      </c>
      <c r="C27" s="43" t="s">
        <v>9</v>
      </c>
      <c r="D27" s="43" t="s">
        <v>178</v>
      </c>
      <c r="E27" s="80">
        <f>SUM('Таблица №10'!G243)</f>
        <v>0.2</v>
      </c>
      <c r="F27" s="80">
        <f>SUM('Таблица №10'!H243)</f>
        <v>1240.2</v>
      </c>
      <c r="G27" s="80">
        <f>SUM('Таблица №10'!I243)</f>
        <v>0.2</v>
      </c>
      <c r="H27" s="80">
        <f>SUM('Таблица №10'!J243)</f>
        <v>1240.2</v>
      </c>
      <c r="I27" s="80">
        <f>SUM('Таблица №10'!K243)</f>
        <v>1240.2</v>
      </c>
    </row>
    <row r="28" spans="1:9" ht="24" outlineLevel="3">
      <c r="A28" s="53" t="str">
        <f>'Таблица №10'!A244</f>
        <v>Закупка товаров, работ и услуг для государственных (муниципальных) нужд</v>
      </c>
      <c r="B28" s="43" t="s">
        <v>22</v>
      </c>
      <c r="C28" s="43" t="s">
        <v>9</v>
      </c>
      <c r="D28" s="43" t="s">
        <v>155</v>
      </c>
      <c r="E28" s="80">
        <f>SUM('Таблица №10'!G244)</f>
        <v>0</v>
      </c>
      <c r="F28" s="80">
        <f>SUM('Таблица №10'!H244)</f>
        <v>54.8</v>
      </c>
      <c r="G28" s="80">
        <f>SUM('Таблица №10'!I244)</f>
        <v>0</v>
      </c>
      <c r="H28" s="80">
        <f>SUM('Таблица №10'!J244)</f>
        <v>54.8</v>
      </c>
      <c r="I28" s="80">
        <f>SUM('Таблица №10'!K244)</f>
        <v>54.8</v>
      </c>
    </row>
    <row r="29" spans="1:9" ht="12.75" outlineLevel="3">
      <c r="A29" s="53" t="str">
        <f>'Таблица №10'!A245</f>
        <v>Иные бюджетные ассигнования</v>
      </c>
      <c r="B29" s="43" t="s">
        <v>22</v>
      </c>
      <c r="C29" s="43" t="s">
        <v>9</v>
      </c>
      <c r="D29" s="43" t="s">
        <v>179</v>
      </c>
      <c r="E29" s="80">
        <f>SUM('Таблица №10'!G245)</f>
        <v>-0.2</v>
      </c>
      <c r="F29" s="80">
        <f>SUM('Таблица №10'!H245)</f>
        <v>0</v>
      </c>
      <c r="G29" s="80">
        <f>SUM('Таблица №10'!I245)</f>
        <v>-0.2</v>
      </c>
      <c r="H29" s="80">
        <f>SUM('Таблица №10'!J245)</f>
        <v>0</v>
      </c>
      <c r="I29" s="80">
        <f>SUM('Таблица №10'!K245)</f>
        <v>0</v>
      </c>
    </row>
    <row r="30" spans="1:9" ht="36" outlineLevel="5">
      <c r="A30" s="57" t="str">
        <f>'Таблица №10'!A257</f>
        <v>Ведомственная целевая программа "Развитие культуры и искусства в Алексеевском муниципальном районе на 2019-2021 годы"</v>
      </c>
      <c r="B30" s="81" t="str">
        <f>'Таблица №10'!D257</f>
        <v>59</v>
      </c>
      <c r="C30" s="81">
        <f>'Таблица №10'!E257</f>
        <v>0</v>
      </c>
      <c r="D30" s="81"/>
      <c r="E30" s="82">
        <f>SUM(E31)</f>
        <v>3000</v>
      </c>
      <c r="F30" s="82">
        <f>SUM(F31)</f>
        <v>13300</v>
      </c>
      <c r="G30" s="82">
        <f>SUM(G31)</f>
        <v>3000</v>
      </c>
      <c r="H30" s="82">
        <f>SUM(H31)</f>
        <v>13300</v>
      </c>
      <c r="I30" s="82">
        <f>SUM(I31)</f>
        <v>13300</v>
      </c>
    </row>
    <row r="31" spans="1:9" ht="24" outlineLevel="5">
      <c r="A31" s="53" t="str">
        <f>'Таблица №10'!A259</f>
        <v>Предоставление субсидий бюджетным, автономным учреждениям и иным некоммерческим организациям</v>
      </c>
      <c r="B31" s="43" t="s">
        <v>23</v>
      </c>
      <c r="C31" s="43" t="s">
        <v>9</v>
      </c>
      <c r="D31" s="43" t="s">
        <v>180</v>
      </c>
      <c r="E31" s="80">
        <f>SUM('Таблица №10'!G257)</f>
        <v>3000</v>
      </c>
      <c r="F31" s="80">
        <f>SUM('Таблица №10'!H257)</f>
        <v>13300</v>
      </c>
      <c r="G31" s="80">
        <f>SUM('Таблица №10'!I257)</f>
        <v>3000</v>
      </c>
      <c r="H31" s="80">
        <f>SUM('Таблица №10'!J257)</f>
        <v>13300</v>
      </c>
      <c r="I31" s="80">
        <f>SUM('Таблица №10'!K257)</f>
        <v>13300</v>
      </c>
    </row>
    <row r="32" spans="1:9" ht="36">
      <c r="A32" s="56" t="str">
        <f>'Таблица №10'!A316</f>
        <v>Ведомственная целевая программа "Поддержка средств массовой информации в Алексеевском муниципальном районе на 2019-2021 годы"</v>
      </c>
      <c r="B32" s="81" t="str">
        <f>'Таблица №10'!D316</f>
        <v>61</v>
      </c>
      <c r="C32" s="81">
        <f>'Таблица №10'!E316</f>
        <v>0</v>
      </c>
      <c r="D32" s="81"/>
      <c r="E32" s="82">
        <f>SUM(E33)</f>
        <v>22.1</v>
      </c>
      <c r="F32" s="82">
        <f>SUM(F33)</f>
        <v>2271.5</v>
      </c>
      <c r="G32" s="82">
        <f>SUM(G33)</f>
        <v>22.1</v>
      </c>
      <c r="H32" s="82">
        <f>SUM(H33)</f>
        <v>2271.5</v>
      </c>
      <c r="I32" s="82">
        <f>SUM(I33)</f>
        <v>2271.5</v>
      </c>
    </row>
    <row r="33" spans="1:9" ht="24">
      <c r="A33" s="55" t="str">
        <f>'Таблица №10'!A317</f>
        <v>Предоставление субсидий бюджетным, автономным учреждениям и иным некоммерческим организациям</v>
      </c>
      <c r="B33" s="43" t="str">
        <f>'Таблица №10'!D317</f>
        <v>61</v>
      </c>
      <c r="C33" s="43">
        <f>'Таблица №10'!E317</f>
        <v>0</v>
      </c>
      <c r="D33" s="43">
        <f>'Таблица №10'!F317</f>
        <v>600</v>
      </c>
      <c r="E33" s="80">
        <f>'Таблица №10'!G316</f>
        <v>22.1</v>
      </c>
      <c r="F33" s="80">
        <f>'Таблица №10'!H316</f>
        <v>2271.5</v>
      </c>
      <c r="G33" s="80">
        <f>'Таблица №10'!I316</f>
        <v>22.1</v>
      </c>
      <c r="H33" s="80">
        <f>'Таблица №10'!J316</f>
        <v>2271.5</v>
      </c>
      <c r="I33" s="80">
        <f>'Таблица №10'!K316</f>
        <v>2271.5</v>
      </c>
    </row>
    <row r="34" spans="1:9" ht="12.75">
      <c r="A34" s="56" t="s">
        <v>101</v>
      </c>
      <c r="B34" s="81"/>
      <c r="C34" s="83"/>
      <c r="D34" s="84"/>
      <c r="E34" s="82">
        <f>SUM(E9+E11+E13+E24+E26+E30+E32)</f>
        <v>33752.99999999999</v>
      </c>
      <c r="F34" s="82">
        <f>SUM(F9+F11+F13+F24+F26+F30+F32)</f>
        <v>268365.7</v>
      </c>
      <c r="G34" s="82">
        <f>SUM(G9+G11+G13+G24+G26+G30+G32)</f>
        <v>20173.999999999996</v>
      </c>
      <c r="H34" s="82">
        <f>SUM(H9+H11+H13+H24+H26+H30+H32)</f>
        <v>254162.3</v>
      </c>
      <c r="I34" s="82">
        <f>SUM(I9+I11+I13+I24+I26+I30+I32)</f>
        <v>243493</v>
      </c>
    </row>
    <row r="35" spans="4:5" ht="15">
      <c r="D35" s="18"/>
      <c r="E35" s="25"/>
    </row>
    <row r="36" ht="15">
      <c r="D36" s="18"/>
    </row>
    <row r="37" ht="15">
      <c r="D37" s="18"/>
    </row>
    <row r="38" ht="15">
      <c r="D38" s="18"/>
    </row>
    <row r="39" ht="15">
      <c r="D39" s="18"/>
    </row>
    <row r="40" ht="15">
      <c r="D40" s="18"/>
    </row>
    <row r="41" ht="15">
      <c r="D41" s="18"/>
    </row>
    <row r="42" ht="15">
      <c r="D42" s="18"/>
    </row>
    <row r="43" spans="1:9" s="15" customFormat="1" ht="15">
      <c r="A43" s="7"/>
      <c r="B43" s="12"/>
      <c r="C43" s="13"/>
      <c r="D43" s="18"/>
      <c r="F43" s="2"/>
      <c r="G43" s="2"/>
      <c r="H43" s="2"/>
      <c r="I43" s="2"/>
    </row>
    <row r="44" spans="1:9" s="15" customFormat="1" ht="15">
      <c r="A44" s="7"/>
      <c r="B44" s="12"/>
      <c r="C44" s="13"/>
      <c r="D44" s="18"/>
      <c r="F44" s="2"/>
      <c r="G44" s="2"/>
      <c r="H44" s="2"/>
      <c r="I44" s="2"/>
    </row>
  </sheetData>
  <sheetProtection/>
  <mergeCells count="6">
    <mergeCell ref="E7:H7"/>
    <mergeCell ref="C1:I1"/>
    <mergeCell ref="C2:I2"/>
    <mergeCell ref="C3:I3"/>
    <mergeCell ref="C4:I4"/>
    <mergeCell ref="A5:I5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1</cp:lastModifiedBy>
  <cp:lastPrinted>2020-11-13T05:34:37Z</cp:lastPrinted>
  <dcterms:created xsi:type="dcterms:W3CDTF">2002-03-11T10:22:12Z</dcterms:created>
  <dcterms:modified xsi:type="dcterms:W3CDTF">2020-12-14T11:58:17Z</dcterms:modified>
  <cp:category/>
  <cp:version/>
  <cp:contentType/>
  <cp:contentStatus/>
</cp:coreProperties>
</file>