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firstSheet="4" activeTab="4"/>
  </bookViews>
  <sheets>
    <sheet name="Приложение 2" sheetId="1" state="hidden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<sst xmlns="http://schemas.openxmlformats.org/spreadsheetml/2006/main" count="1589" uniqueCount="336">
  <si>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</si>
  <si>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</si>
  <si>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</si>
  <si>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</si>
  <si>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</si>
  <si>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</si>
  <si>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</si>
  <si>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</si>
  <si>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</si>
  <si>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</si>
  <si>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</si>
  <si>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</si>
  <si>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</si>
  <si>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</si>
  <si>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</si>
  <si>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</si>
  <si>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</si>
  <si>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</si>
  <si>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</si>
  <si>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</si>
  <si>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</si>
  <si>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54</t>
  </si>
  <si>
    <t>55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</si>
  <si>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</si>
  <si>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</si>
  <si>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</si>
  <si>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</si>
  <si>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</si>
  <si>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</si>
  <si>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</si>
  <si>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</si>
  <si>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</si>
  <si>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Ревизионная комиссия Алексеевского муниципального района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</si>
  <si>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</si>
  <si>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</si>
  <si>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</si>
  <si>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</si>
  <si>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</si>
  <si>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</si>
  <si>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</si>
  <si>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</si>
  <si>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</si>
  <si>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</si>
  <si>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</si>
  <si>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</si>
  <si>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</si>
  <si>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</si>
  <si>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</si>
  <si>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</si>
  <si>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</si>
  <si>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</si>
  <si>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</si>
  <si>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</si>
  <si>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</si>
  <si>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</si>
  <si>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</si>
  <si>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Мероприятия в области строительства, архитектуры и градостроения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</si>
  <si>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</si>
  <si>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</si>
  <si>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</si>
  <si>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</si>
  <si>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</si>
  <si>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</si>
  <si>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</si>
  <si>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</si>
  <si>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</si>
  <si>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</si>
  <si>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</si>
  <si>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</si>
  <si>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</si>
  <si>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</si>
  <si>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</si>
  <si>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</si>
  <si>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</si>
  <si>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</si>
  <si>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</si>
  <si>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</si>
  <si>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</si>
  <si>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</si>
  <si>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</si>
  <si>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</si>
  <si>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</si>
  <si>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</si>
  <si>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</si>
  <si>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</si>
  <si>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</si>
  <si>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</si>
  <si>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</si>
  <si>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</si>
  <si>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</si>
  <si>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</si>
  <si>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</si>
  <si>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</si>
  <si>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</si>
  <si>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</si>
  <si>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</si>
  <si>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</si>
  <si>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</si>
  <si>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</si>
  <si>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</si>
  <si>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</si>
  <si>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</si>
  <si>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</si>
  <si>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</si>
  <si>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</si>
  <si>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</si>
  <si>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</si>
  <si>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</si>
  <si>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</si>
  <si>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</si>
  <si>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</si>
  <si>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</si>
  <si>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</si>
  <si>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</si>
  <si>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</si>
  <si>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</si>
  <si>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</si>
  <si>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</si>
  <si>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</si>
  <si>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</si>
  <si>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</si>
  <si>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</si>
  <si>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</si>
  <si>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</si>
  <si>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</si>
  <si>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</si>
  <si>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</si>
  <si>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</si>
  <si>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</si>
  <si>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</si>
  <si>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</si>
  <si>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</si>
  <si>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</si>
  <si>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</si>
  <si>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</si>
  <si>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</si>
  <si>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</si>
  <si>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</si>
  <si>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</si>
  <si>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</si>
  <si>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</si>
  <si>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</si>
  <si>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</si>
  <si>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</si>
  <si>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</si>
  <si>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</si>
  <si>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</si>
  <si>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</si>
  <si>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</si>
  <si>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</si>
  <si>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</si>
  <si>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</si>
  <si>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</si>
  <si>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</si>
  <si>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</si>
  <si>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</si>
  <si>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</si>
  <si>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</si>
  <si>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</si>
  <si>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</si>
  <si>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</si>
  <si>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</si>
  <si>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</si>
  <si>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</si>
  <si>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</si>
  <si>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тыс. рублей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</si>
  <si>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</si>
  <si>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</si>
  <si>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</si>
  <si>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</si>
  <si>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</si>
  <si>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Жилищное хозяйство</t>
  </si>
  <si>
    <t>0501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</si>
  <si>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</si>
  <si>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</si>
  <si>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</si>
  <si>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</si>
  <si>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</si>
  <si>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</si>
  <si>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</si>
  <si>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</si>
  <si>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</si>
  <si>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 xml:space="preserve">Обслуживание  государственного (муниципального) долга 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</si>
  <si>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</si>
  <si>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</si>
  <si>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</si>
  <si>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</si>
  <si>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</si>
  <si>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</si>
  <si>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</si>
  <si>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</si>
  <si>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</si>
  <si>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</si>
  <si>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</si>
  <si>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</si>
  <si>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</si>
  <si>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</si>
  <si>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</si>
  <si>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</si>
  <si>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</si>
  <si>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</si>
  <si>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</si>
  <si>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24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</si>
  <si>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</si>
  <si>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</si>
  <si>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</si>
  <si>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</si>
  <si>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</si>
  <si>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</si>
  <si>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</si>
  <si>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</si>
  <si>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</si>
  <si>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</si>
  <si>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</si>
  <si>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Основное мероприятие "Строительство социально-значимых объектов и объектов инженерной инфраструктуры"</t>
  </si>
  <si>
    <t>Телевидение и радиовещание</t>
  </si>
  <si>
    <t>1201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</si>
  <si>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</si>
  <si>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</si>
  <si>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</si>
  <si>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</si>
  <si>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</si>
  <si>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</si>
  <si>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</si>
  <si>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</si>
  <si>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</si>
  <si>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</si>
  <si>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</si>
  <si>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</si>
  <si>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</si>
  <si>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</si>
  <si>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</si>
  <si>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</si>
  <si>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</si>
  <si>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</si>
  <si>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</si>
  <si>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</si>
  <si>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 xml:space="preserve">Физическая культура </t>
  </si>
  <si>
    <t>Другие вопросы в области физической культуры и спорта</t>
  </si>
  <si>
    <t>Предоставление субсидий бюджетным, автономным учреждениям и иным некоммерческим организациям за счет средств областного бюджета</t>
  </si>
  <si>
    <t>06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</si>
  <si>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</si>
  <si>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</si>
  <si>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</si>
  <si>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</si>
  <si>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</si>
  <si>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</si>
  <si>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</si>
  <si>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</si>
  <si>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</si>
  <si>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</si>
  <si>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</si>
  <si>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</si>
  <si>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</si>
  <si>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</si>
  <si>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</si>
  <si>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</si>
  <si>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Ведомственная целевая программа "Развитие общего образования детей на территории Алексеевского муниципального района на 2017-2019 годы"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</si>
  <si>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</si>
  <si>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</si>
  <si>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</si>
  <si>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</si>
  <si>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</si>
  <si>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</si>
  <si>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</si>
  <si>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</si>
  <si>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</si>
  <si>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</si>
  <si>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</si>
  <si>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</si>
  <si>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культуры и искусства в Алексеевском муниципальном районе на 2017-2019 годы"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</si>
  <si>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</si>
  <si>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01.01.2019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</si>
  <si>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</si>
  <si>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</si>
  <si>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</si>
  <si>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</si>
  <si>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</si>
  <si>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</si>
  <si>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</si>
  <si>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</si>
  <si>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</si>
  <si>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</si>
  <si>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</si>
  <si>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</si>
  <si>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</si>
  <si>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</si>
  <si>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</si>
  <si>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Субсидия на реализацию мероприятий в сфере дорожной деятельности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</si>
  <si>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</si>
  <si>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</si>
  <si>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</si>
  <si>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</si>
  <si>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Ведомственная целевая программа "Реализация дополнительного образования в области искусств в Алексеевском муниципальном районе на 2019-2021 годы" (ДШИ)</t>
  </si>
  <si>
    <t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</si>
  <si>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</si>
  <si>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</si>
  <si>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</si>
  <si>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</si>
  <si>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</si>
  <si>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</si>
  <si>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</si>
  <si>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</si>
  <si>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</si>
  <si>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</si>
  <si>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Муниципальная программа "Устойчивое развитие сельских территорий Алексеевского муниципального района на 2014-2017 годы и на период до 2020 года"</t>
  </si>
  <si>
    <t xml:space="preserve">Решение отдельных вопросов местного значения в связи с необходимостью доведения до сведения жителей муниципальных районов Волгоградской области официальной информации </t>
  </si>
  <si>
    <t>09</t>
  </si>
  <si>
    <t>Муниципальная программа "Градостроительная политика на территории Алексеевского муниципального района на 2019–2021 годы "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</si>
  <si>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</si>
  <si>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</si>
  <si>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</si>
  <si>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</si>
  <si>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</si>
  <si>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</si>
  <si>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</si>
  <si>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</si>
  <si>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2019 год  с учетом изменений</t>
  </si>
  <si>
    <t>% исполнения</t>
  </si>
  <si>
    <t>Исполнено за  2019 год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</si>
  <si>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</si>
  <si>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</si>
  <si>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</si>
  <si>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</si>
  <si>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"__"__________2020 г.№________</t>
  </si>
  <si>
    <t>Распределение средств бюджета  Алексеевского муниципального района по главным распорядителем средств бюджета района за 2019 год</t>
  </si>
  <si>
    <t>Основное мероприятие "Экологическое воспитание и образование"</t>
  </si>
  <si>
    <t xml:space="preserve">Распределение бюджетных ассигнований на реализацию муниципальных целевых программ за 2019 год </t>
  </si>
  <si>
    <t>Распределение бюджетных ассигнований на реализацию ведомственных целевых программ за 2019 год</t>
  </si>
  <si>
    <t xml:space="preserve"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за 2019 год </t>
  </si>
  <si>
    <t xml:space="preserve">Распределение бюджетных ассигнований по разделам и подразделам, целевым статьям и видам расходов районного бюджета за 2019 год </t>
  </si>
  <si>
    <t>к решению Алексеевской районной Думы</t>
  </si>
  <si>
    <t>от__________2020 г. №____</t>
  </si>
  <si>
    <t>Приложение №2</t>
  </si>
  <si>
    <t>Приложение №13</t>
  </si>
  <si>
    <t>от  29.05.2020 г. № 8/66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</si>
</sst>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59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0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49" fontId="7" fillId="34" borderId="11" xfId="53" applyNumberFormat="1" applyFont="1" applyFill="1" applyBorder="1" applyAlignment="1">
      <alignment horizontal="left" vertical="top" wrapText="1"/>
      <protection/>
    </xf>
    <xf numFmtId="0" fontId="8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4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5" fillId="33" borderId="11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horizontal="left" vertical="top" wrapText="1"/>
    </xf>
    <xf numFmtId="0" fontId="61" fillId="33" borderId="11" xfId="0" applyNumberFormat="1" applyFont="1" applyFill="1" applyBorder="1" applyAlignment="1">
      <alignment horizontal="left" vertical="top" wrapText="1"/>
    </xf>
    <xf numFmtId="0" fontId="62" fillId="33" borderId="11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Alignment="1">
      <alignment horizontal="center"/>
    </xf>
    <xf numFmtId="0" fontId="9" fillId="33" borderId="0" xfId="0" applyNumberFormat="1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11" fillId="33" borderId="0" xfId="0" applyNumberFormat="1" applyFont="1" applyFill="1" applyBorder="1" applyAlignment="1">
      <alignment horizontal="right" vertical="top" wrapText="1"/>
    </xf>
    <xf numFmtId="172" fontId="12" fillId="33" borderId="0" xfId="0" applyNumberFormat="1" applyFont="1" applyFill="1" applyBorder="1" applyAlignment="1">
      <alignment horizontal="center" vertical="center" wrapText="1"/>
    </xf>
    <xf numFmtId="173" fontId="13" fillId="33" borderId="0" xfId="0" applyNumberFormat="1" applyFont="1" applyFill="1" applyBorder="1" applyAlignment="1">
      <alignment horizontal="right" vertical="center" wrapText="1"/>
    </xf>
    <xf numFmtId="173" fontId="12" fillId="33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9" fillId="0" borderId="0" xfId="0" applyFont="1" applyAlignment="1">
      <alignment/>
    </xf>
    <xf numFmtId="173" fontId="11" fillId="33" borderId="11" xfId="0" applyNumberFormat="1" applyFont="1" applyFill="1" applyBorder="1" applyAlignment="1">
      <alignment horizontal="right" wrapText="1"/>
    </xf>
    <xf numFmtId="174" fontId="13" fillId="33" borderId="0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4" fontId="12" fillId="33" borderId="0" xfId="0" applyNumberFormat="1" applyFont="1" applyFill="1" applyBorder="1" applyAlignment="1">
      <alignment horizontal="right" vertical="center" wrapText="1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73" fontId="15" fillId="33" borderId="11" xfId="0" applyNumberFormat="1" applyFont="1" applyFill="1" applyBorder="1" applyAlignment="1">
      <alignment horizontal="right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11" fillId="34" borderId="11" xfId="53" applyNumberFormat="1" applyFont="1" applyFill="1" applyBorder="1" applyAlignment="1">
      <alignment horizontal="right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12" fillId="33" borderId="11" xfId="0" applyNumberFormat="1" applyFont="1" applyFill="1" applyBorder="1" applyAlignment="1">
      <alignment horizontal="right" wrapText="1"/>
    </xf>
    <xf numFmtId="0" fontId="17" fillId="33" borderId="11" xfId="0" applyNumberFormat="1" applyFont="1" applyFill="1" applyBorder="1" applyAlignment="1">
      <alignment horizontal="right" vertical="center" wrapText="1"/>
    </xf>
    <xf numFmtId="172" fontId="11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/>
    </xf>
    <xf numFmtId="0" fontId="9" fillId="34" borderId="0" xfId="53" applyFont="1" applyFill="1" applyAlignment="1">
      <alignment/>
      <protection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="110" zoomScaleNormal="110" zoomScalePageLayoutView="0" workbookViewId="0" topLeftCell="A45">
      <selection activeCell="B2" sqref="B2:E2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9.28125" style="21" customWidth="1"/>
    <col min="4" max="4" width="9.8515625" style="21" customWidth="1"/>
    <col min="5" max="5" width="10.140625" style="21" customWidth="1"/>
    <col min="6" max="16384" width="9.140625" style="21" customWidth="1"/>
  </cols>
  <sheetData>
    <row r="1" spans="1:5" ht="16.5">
      <c r="A1" s="19" t="s">
        <v>131</v>
      </c>
      <c r="B1" s="109" t="s">
        <v>333</v>
      </c>
      <c r="C1" s="109"/>
      <c r="D1" s="109"/>
      <c r="E1" s="109"/>
    </row>
    <row r="2" spans="1:5" ht="16.5">
      <c r="A2" s="19"/>
      <c r="B2" s="109" t="s">
        <v>331</v>
      </c>
      <c r="C2" s="109"/>
      <c r="D2" s="109"/>
      <c r="E2" s="109"/>
    </row>
    <row r="3" spans="1:5" ht="16.5">
      <c r="A3" s="19"/>
      <c r="B3" s="109" t="s">
        <v>332</v>
      </c>
      <c r="C3" s="109"/>
      <c r="D3" s="109"/>
      <c r="E3" s="109"/>
    </row>
    <row r="4" spans="1:5" ht="26.25" customHeight="1">
      <c r="A4" s="19"/>
      <c r="B4" s="109"/>
      <c r="C4" s="109"/>
      <c r="D4" s="109"/>
      <c r="E4" s="109"/>
    </row>
    <row r="5" spans="1:5" ht="59.25" customHeight="1">
      <c r="A5" s="108" t="s">
        <v>329</v>
      </c>
      <c r="B5" s="108"/>
      <c r="C5" s="108"/>
      <c r="D5" s="108"/>
      <c r="E5" s="108"/>
    </row>
    <row r="6" spans="1:5" ht="16.5">
      <c r="A6" s="22" t="s">
        <v>134</v>
      </c>
      <c r="B6" s="20"/>
      <c r="C6" s="107" t="s">
        <v>165</v>
      </c>
      <c r="D6" s="107"/>
      <c r="E6" s="107"/>
    </row>
    <row r="7" spans="1:5" ht="51">
      <c r="A7" s="46" t="s">
        <v>135</v>
      </c>
      <c r="B7" s="46" t="s">
        <v>136</v>
      </c>
      <c r="C7" s="38" t="s">
        <v>317</v>
      </c>
      <c r="D7" s="38" t="s">
        <v>319</v>
      </c>
      <c r="E7" s="38" t="s">
        <v>318</v>
      </c>
    </row>
    <row r="8" spans="1:5" ht="16.5" customHeight="1">
      <c r="A8" s="52" t="s">
        <v>44</v>
      </c>
      <c r="B8" s="48" t="s">
        <v>137</v>
      </c>
      <c r="C8" s="51">
        <f>SUM(C9:C17)</f>
        <v>81511.25390999998</v>
      </c>
      <c r="D8" s="51">
        <f>SUM(D9:D17)</f>
        <v>81288.60251999999</v>
      </c>
      <c r="E8" s="51">
        <f>SUM(D8/C8)*100</f>
        <v>99.72684582886451</v>
      </c>
    </row>
    <row r="9" spans="1:5" ht="29.25" customHeight="1">
      <c r="A9" s="52" t="s">
        <v>45</v>
      </c>
      <c r="B9" s="48" t="s">
        <v>138</v>
      </c>
      <c r="C9" s="51">
        <f>SUM('Таблица №8'!F10)</f>
        <v>1684.7729499999998</v>
      </c>
      <c r="D9" s="51">
        <f>SUM('Таблица №8'!G10)</f>
        <v>1684.7729499999998</v>
      </c>
      <c r="E9" s="51">
        <f aca="true" t="shared" si="0" ref="E9:E59">SUM(D9/C9)*100</f>
        <v>100</v>
      </c>
    </row>
    <row r="10" spans="1:5" ht="28.5" customHeight="1">
      <c r="A10" s="52" t="s">
        <v>30</v>
      </c>
      <c r="B10" s="48" t="s">
        <v>139</v>
      </c>
      <c r="C10" s="51">
        <f>SUM('Таблица №8'!F13)</f>
        <v>437.36688</v>
      </c>
      <c r="D10" s="51">
        <f>SUM('Таблица №8'!G13)</f>
        <v>437.36688</v>
      </c>
      <c r="E10" s="51">
        <f t="shared" si="0"/>
        <v>100</v>
      </c>
    </row>
    <row r="11" spans="1:5" ht="19.5" customHeight="1">
      <c r="A11" s="52" t="s">
        <v>43</v>
      </c>
      <c r="B11" s="48" t="s">
        <v>140</v>
      </c>
      <c r="C11" s="51">
        <f>SUM('Таблица №8'!F19)</f>
        <v>28614.950849999994</v>
      </c>
      <c r="D11" s="51">
        <f>SUM('Таблица №8'!G19)</f>
        <v>28614.950849999994</v>
      </c>
      <c r="E11" s="51">
        <f t="shared" si="0"/>
        <v>100</v>
      </c>
    </row>
    <row r="12" spans="1:5" ht="15" customHeight="1">
      <c r="A12" s="52" t="s">
        <v>46</v>
      </c>
      <c r="B12" s="48" t="s">
        <v>38</v>
      </c>
      <c r="C12" s="51">
        <f>SUM('Приложение 3'!G51)</f>
        <v>0</v>
      </c>
      <c r="D12" s="51">
        <f>SUM('Приложение 3'!H51)</f>
        <v>0</v>
      </c>
      <c r="E12" s="51">
        <v>0</v>
      </c>
    </row>
    <row r="13" spans="1:5" ht="42.75" customHeight="1">
      <c r="A13" s="52" t="s">
        <v>34</v>
      </c>
      <c r="B13" s="48" t="s">
        <v>141</v>
      </c>
      <c r="C13" s="51">
        <f>SUM('Таблица №8'!F43)</f>
        <v>1354.58524</v>
      </c>
      <c r="D13" s="51">
        <f>SUM('Таблица №8'!G43)</f>
        <v>1354.58524</v>
      </c>
      <c r="E13" s="51">
        <f t="shared" si="0"/>
        <v>100</v>
      </c>
    </row>
    <row r="14" spans="1:5" ht="16.5" customHeight="1">
      <c r="A14" s="52" t="s">
        <v>47</v>
      </c>
      <c r="B14" s="48" t="s">
        <v>39</v>
      </c>
      <c r="C14" s="51">
        <f>SUM('Таблица №8'!F50)</f>
        <v>0</v>
      </c>
      <c r="D14" s="51">
        <f>SUM('Таблица №8'!G50)</f>
        <v>0</v>
      </c>
      <c r="E14" s="51">
        <v>0</v>
      </c>
    </row>
    <row r="15" spans="1:5" ht="16.5" customHeight="1">
      <c r="A15" s="52" t="s">
        <v>48</v>
      </c>
      <c r="B15" s="48" t="s">
        <v>142</v>
      </c>
      <c r="C15" s="51">
        <f>SUM('Таблица №8'!F54)</f>
        <v>0</v>
      </c>
      <c r="D15" s="51">
        <f>SUM('Таблица №8'!G54)</f>
        <v>0</v>
      </c>
      <c r="E15" s="51">
        <v>0</v>
      </c>
    </row>
    <row r="16" spans="1:5" ht="16.5" customHeight="1">
      <c r="A16" s="52" t="s">
        <v>31</v>
      </c>
      <c r="B16" s="48" t="s">
        <v>49</v>
      </c>
      <c r="C16" s="51">
        <f>SUM('Таблица №8'!F56)-C17</f>
        <v>49419.57798999999</v>
      </c>
      <c r="D16" s="51">
        <f>SUM('Таблица №8'!G56)-D17</f>
        <v>49196.9266</v>
      </c>
      <c r="E16" s="51">
        <f t="shared" si="0"/>
        <v>99.54946723736685</v>
      </c>
    </row>
    <row r="17" spans="1:5" ht="16.5" customHeight="1">
      <c r="A17" s="52" t="s">
        <v>31</v>
      </c>
      <c r="B17" s="48" t="s">
        <v>50</v>
      </c>
      <c r="C17" s="51">
        <f>SUM('Таблица №8'!F86)</f>
        <v>0</v>
      </c>
      <c r="D17" s="51">
        <f>SUM('Таблица №8'!G86)</f>
        <v>0</v>
      </c>
      <c r="E17" s="51">
        <v>0</v>
      </c>
    </row>
    <row r="18" spans="1:5" ht="16.5" customHeight="1">
      <c r="A18" s="52" t="s">
        <v>119</v>
      </c>
      <c r="B18" s="48" t="s">
        <v>143</v>
      </c>
      <c r="C18" s="51">
        <f>SUM(C19)</f>
        <v>0</v>
      </c>
      <c r="D18" s="51">
        <f>SUM(D19)</f>
        <v>0</v>
      </c>
      <c r="E18" s="51">
        <v>0</v>
      </c>
    </row>
    <row r="19" spans="1:5" ht="16.5" customHeight="1">
      <c r="A19" s="52" t="s">
        <v>53</v>
      </c>
      <c r="B19" s="48" t="s">
        <v>52</v>
      </c>
      <c r="C19" s="51">
        <f>SUM('Таблица №8'!F87)</f>
        <v>0</v>
      </c>
      <c r="D19" s="51">
        <f>SUM('Таблица №8'!G87)</f>
        <v>0</v>
      </c>
      <c r="E19" s="51">
        <v>0</v>
      </c>
    </row>
    <row r="20" spans="1:5" ht="27.75" customHeight="1">
      <c r="A20" s="52" t="s">
        <v>120</v>
      </c>
      <c r="B20" s="48" t="s">
        <v>124</v>
      </c>
      <c r="C20" s="51">
        <f>SUM(C21:C21)</f>
        <v>61.08</v>
      </c>
      <c r="D20" s="51">
        <f>SUM(D21:D21)</f>
        <v>61.08</v>
      </c>
      <c r="E20" s="51">
        <f t="shared" si="0"/>
        <v>100</v>
      </c>
    </row>
    <row r="21" spans="1:5" ht="42.75" customHeight="1">
      <c r="A21" s="52" t="s">
        <v>54</v>
      </c>
      <c r="B21" s="48" t="s">
        <v>144</v>
      </c>
      <c r="C21" s="51">
        <f>SUM('Таблица №8'!F92)</f>
        <v>61.08</v>
      </c>
      <c r="D21" s="51">
        <f>SUM('Таблица №8'!G92)</f>
        <v>61.08</v>
      </c>
      <c r="E21" s="51">
        <f t="shared" si="0"/>
        <v>100</v>
      </c>
    </row>
    <row r="22" spans="1:5" ht="15.75" customHeight="1">
      <c r="A22" s="52" t="s">
        <v>64</v>
      </c>
      <c r="B22" s="48" t="s">
        <v>127</v>
      </c>
      <c r="C22" s="51">
        <f>SUM(C23:C25)</f>
        <v>28446.883759999993</v>
      </c>
      <c r="D22" s="51">
        <f>SUM(D23:D25)</f>
        <v>18232.697229999998</v>
      </c>
      <c r="E22" s="51">
        <f t="shared" si="0"/>
        <v>64.09382969264821</v>
      </c>
    </row>
    <row r="23" spans="1:5" ht="15.75" customHeight="1">
      <c r="A23" s="52" t="s">
        <v>157</v>
      </c>
      <c r="B23" s="48" t="s">
        <v>156</v>
      </c>
      <c r="C23" s="51">
        <f>SUM('Таблица №8'!F100)</f>
        <v>0</v>
      </c>
      <c r="D23" s="51">
        <f>SUM('Таблица №8'!G100)</f>
        <v>0</v>
      </c>
      <c r="E23" s="51">
        <v>0</v>
      </c>
    </row>
    <row r="24" spans="1:5" ht="15.75" customHeight="1">
      <c r="A24" s="52" t="s">
        <v>55</v>
      </c>
      <c r="B24" s="48" t="s">
        <v>128</v>
      </c>
      <c r="C24" s="51">
        <f>SUM('Таблица №8'!F104)</f>
        <v>27272.636609999994</v>
      </c>
      <c r="D24" s="51">
        <f>SUM('Таблица №8'!G104)</f>
        <v>17058.45008</v>
      </c>
      <c r="E24" s="51">
        <f t="shared" si="0"/>
        <v>62.54785822117843</v>
      </c>
    </row>
    <row r="25" spans="1:5" ht="15.75" customHeight="1">
      <c r="A25" s="52" t="s">
        <v>57</v>
      </c>
      <c r="B25" s="48" t="s">
        <v>129</v>
      </c>
      <c r="C25" s="51">
        <f>SUM('Таблица №8'!F113)</f>
        <v>1174.2471500000001</v>
      </c>
      <c r="D25" s="51">
        <f>SUM('Таблица №8'!G113)</f>
        <v>1174.2471500000001</v>
      </c>
      <c r="E25" s="51">
        <f t="shared" si="0"/>
        <v>100</v>
      </c>
    </row>
    <row r="26" spans="1:5" ht="15.75" customHeight="1">
      <c r="A26" s="52" t="s">
        <v>60</v>
      </c>
      <c r="B26" s="48" t="s">
        <v>145</v>
      </c>
      <c r="C26" s="51">
        <f>SUM(C27:C29)</f>
        <v>8560.300000000001</v>
      </c>
      <c r="D26" s="51">
        <f>SUM(D27:D29)</f>
        <v>8430.78972</v>
      </c>
      <c r="E26" s="51">
        <f t="shared" si="0"/>
        <v>98.48708246206324</v>
      </c>
    </row>
    <row r="27" spans="1:5" ht="21.75" customHeight="1" hidden="1">
      <c r="A27" s="52" t="s">
        <v>172</v>
      </c>
      <c r="B27" s="48" t="s">
        <v>171</v>
      </c>
      <c r="C27" s="51">
        <v>0</v>
      </c>
      <c r="D27" s="51">
        <v>0</v>
      </c>
      <c r="E27" s="51" t="e">
        <f t="shared" si="0"/>
        <v>#DIV/0!</v>
      </c>
    </row>
    <row r="28" spans="1:5" ht="15" customHeight="1">
      <c r="A28" s="52" t="s">
        <v>61</v>
      </c>
      <c r="B28" s="48" t="s">
        <v>58</v>
      </c>
      <c r="C28" s="51">
        <f>SUM('Таблица №8'!F131)</f>
        <v>8560.300000000001</v>
      </c>
      <c r="D28" s="51">
        <f>SUM('Таблица №8'!G131)</f>
        <v>8430.78972</v>
      </c>
      <c r="E28" s="51">
        <f t="shared" si="0"/>
        <v>98.48708246206324</v>
      </c>
    </row>
    <row r="29" spans="1:5" ht="15">
      <c r="A29" s="52" t="s">
        <v>146</v>
      </c>
      <c r="B29" s="48" t="s">
        <v>147</v>
      </c>
      <c r="C29" s="51">
        <f>SUM('Таблица №8'!F141)</f>
        <v>0</v>
      </c>
      <c r="D29" s="51">
        <f>SUM('Таблица №8'!G141)</f>
        <v>0</v>
      </c>
      <c r="E29" s="51">
        <v>0</v>
      </c>
    </row>
    <row r="30" spans="1:5" ht="15.75" customHeight="1">
      <c r="A30" s="52" t="s">
        <v>121</v>
      </c>
      <c r="B30" s="48" t="s">
        <v>62</v>
      </c>
      <c r="C30" s="51">
        <f>SUM(C31)</f>
        <v>264.44999999999993</v>
      </c>
      <c r="D30" s="51">
        <f>SUM(D31)</f>
        <v>264.44999999999993</v>
      </c>
      <c r="E30" s="51">
        <f t="shared" si="0"/>
        <v>100</v>
      </c>
    </row>
    <row r="31" spans="1:5" ht="15.75" customHeight="1">
      <c r="A31" s="52" t="s">
        <v>65</v>
      </c>
      <c r="B31" s="48" t="s">
        <v>63</v>
      </c>
      <c r="C31" s="51">
        <f>SUM('Таблица №8'!F144)</f>
        <v>264.44999999999993</v>
      </c>
      <c r="D31" s="51">
        <f>SUM('Таблица №8'!G144)</f>
        <v>264.44999999999993</v>
      </c>
      <c r="E31" s="51">
        <f t="shared" si="0"/>
        <v>100</v>
      </c>
    </row>
    <row r="32" spans="1:5" ht="18" customHeight="1">
      <c r="A32" s="52" t="s">
        <v>69</v>
      </c>
      <c r="B32" s="48" t="s">
        <v>66</v>
      </c>
      <c r="C32" s="51">
        <f>SUM(C33:C37)</f>
        <v>245689.77637999994</v>
      </c>
      <c r="D32" s="51">
        <f>SUM(D33:D37)</f>
        <v>219109.24730999998</v>
      </c>
      <c r="E32" s="51">
        <f t="shared" si="0"/>
        <v>89.18126368071223</v>
      </c>
    </row>
    <row r="33" spans="1:5" ht="18" customHeight="1">
      <c r="A33" s="52" t="s">
        <v>68</v>
      </c>
      <c r="B33" s="48" t="s">
        <v>67</v>
      </c>
      <c r="C33" s="51">
        <f>SUM('Таблица №8'!F149)</f>
        <v>60999.802500000005</v>
      </c>
      <c r="D33" s="51">
        <f>SUM('Таблица №8'!G149)</f>
        <v>38050.049289999995</v>
      </c>
      <c r="E33" s="51">
        <f t="shared" si="0"/>
        <v>62.37733194300095</v>
      </c>
    </row>
    <row r="34" spans="1:5" ht="18" customHeight="1">
      <c r="A34" s="52" t="s">
        <v>70</v>
      </c>
      <c r="B34" s="48" t="s">
        <v>75</v>
      </c>
      <c r="C34" s="51">
        <f>SUM('Таблица №8'!F168)</f>
        <v>163617.52881999995</v>
      </c>
      <c r="D34" s="51">
        <f>SUM('Таблица №8'!G168)</f>
        <v>159993.50243</v>
      </c>
      <c r="E34" s="51">
        <f t="shared" si="0"/>
        <v>97.78506226311066</v>
      </c>
    </row>
    <row r="35" spans="1:5" ht="18" customHeight="1">
      <c r="A35" s="52" t="s">
        <v>229</v>
      </c>
      <c r="B35" s="48" t="s">
        <v>228</v>
      </c>
      <c r="C35" s="51">
        <f>SUM('Таблица №8'!F194)</f>
        <v>11894.799599999998</v>
      </c>
      <c r="D35" s="51">
        <f>SUM('Таблица №8'!G194)</f>
        <v>11888.05013</v>
      </c>
      <c r="E35" s="51">
        <f t="shared" si="0"/>
        <v>99.94325696752387</v>
      </c>
    </row>
    <row r="36" spans="1:5" ht="18" customHeight="1">
      <c r="A36" s="52" t="s">
        <v>76</v>
      </c>
      <c r="B36" s="48" t="s">
        <v>77</v>
      </c>
      <c r="C36" s="51">
        <f>SUM('Таблица №8'!F202)</f>
        <v>7780.560979999999</v>
      </c>
      <c r="D36" s="51">
        <f>SUM('Таблица №8'!G202)</f>
        <v>7780.560979999999</v>
      </c>
      <c r="E36" s="51">
        <f t="shared" si="0"/>
        <v>100</v>
      </c>
    </row>
    <row r="37" spans="1:5" ht="18" customHeight="1">
      <c r="A37" s="52" t="s">
        <v>79</v>
      </c>
      <c r="B37" s="48" t="s">
        <v>78</v>
      </c>
      <c r="C37" s="51">
        <f>SUM('Таблица №8'!F218)</f>
        <v>1397.08448</v>
      </c>
      <c r="D37" s="51">
        <f>SUM('Таблица №8'!G218)</f>
        <v>1397.08448</v>
      </c>
      <c r="E37" s="51">
        <f t="shared" si="0"/>
        <v>100</v>
      </c>
    </row>
    <row r="38" spans="1:5" ht="18" customHeight="1">
      <c r="A38" s="52" t="s">
        <v>122</v>
      </c>
      <c r="B38" s="48" t="s">
        <v>148</v>
      </c>
      <c r="C38" s="51">
        <f>SUM(C39:C41)</f>
        <v>16537.8</v>
      </c>
      <c r="D38" s="51">
        <f>SUM(D39:D41)</f>
        <v>16464.506729999997</v>
      </c>
      <c r="E38" s="51">
        <f t="shared" si="0"/>
        <v>99.5568136632442</v>
      </c>
    </row>
    <row r="39" spans="1:5" ht="18" customHeight="1">
      <c r="A39" s="52" t="s">
        <v>86</v>
      </c>
      <c r="B39" s="48" t="s">
        <v>123</v>
      </c>
      <c r="C39" s="51">
        <f>SUM('Таблица №8'!F226)</f>
        <v>14809.15375</v>
      </c>
      <c r="D39" s="51">
        <f>SUM('Таблица №8'!G226)</f>
        <v>14735.860479999998</v>
      </c>
      <c r="E39" s="51">
        <f t="shared" si="0"/>
        <v>99.50508130824151</v>
      </c>
    </row>
    <row r="40" spans="1:5" ht="18" customHeight="1">
      <c r="A40" s="52" t="s">
        <v>87</v>
      </c>
      <c r="B40" s="48" t="s">
        <v>84</v>
      </c>
      <c r="C40" s="51">
        <f>SUM('Таблица №8'!F249)</f>
        <v>261.07547</v>
      </c>
      <c r="D40" s="51">
        <f>SUM('Таблица №8'!G249)</f>
        <v>261.07547</v>
      </c>
      <c r="E40" s="51">
        <f t="shared" si="0"/>
        <v>100</v>
      </c>
    </row>
    <row r="41" spans="1:5" ht="21" customHeight="1">
      <c r="A41" s="52" t="s">
        <v>88</v>
      </c>
      <c r="B41" s="48" t="s">
        <v>85</v>
      </c>
      <c r="C41" s="51">
        <f>SUM('Таблица №8'!F251)</f>
        <v>1467.57078</v>
      </c>
      <c r="D41" s="51">
        <f>SUM('Таблица №8'!G251)</f>
        <v>1467.57078</v>
      </c>
      <c r="E41" s="51">
        <f t="shared" si="0"/>
        <v>100</v>
      </c>
    </row>
    <row r="42" spans="1:5" ht="18" customHeight="1">
      <c r="A42" s="52" t="s">
        <v>232</v>
      </c>
      <c r="B42" s="48" t="s">
        <v>231</v>
      </c>
      <c r="C42" s="51">
        <f>SUM(C43)</f>
        <v>29.06601999999998</v>
      </c>
      <c r="D42" s="51">
        <f>SUM(D43)</f>
        <v>29.06601999999998</v>
      </c>
      <c r="E42" s="51">
        <f t="shared" si="0"/>
        <v>100</v>
      </c>
    </row>
    <row r="43" spans="1:5" ht="21" customHeight="1" hidden="1">
      <c r="A43" s="52" t="s">
        <v>234</v>
      </c>
      <c r="B43" s="48" t="s">
        <v>233</v>
      </c>
      <c r="C43" s="51">
        <f>SUM('Таблица №8'!F254)</f>
        <v>29.06601999999998</v>
      </c>
      <c r="D43" s="51">
        <f>SUM('Таблица №8'!G254)</f>
        <v>29.06601999999998</v>
      </c>
      <c r="E43" s="51">
        <f t="shared" si="0"/>
        <v>100</v>
      </c>
    </row>
    <row r="44" spans="1:5" ht="18" customHeight="1">
      <c r="A44" s="52">
        <v>1000</v>
      </c>
      <c r="B44" s="48" t="s">
        <v>89</v>
      </c>
      <c r="C44" s="51">
        <f>SUM(C45:C48)</f>
        <v>27131.208210000004</v>
      </c>
      <c r="D44" s="51">
        <f>SUM(D45:D48)</f>
        <v>25413.197669999998</v>
      </c>
      <c r="E44" s="51">
        <f t="shared" si="0"/>
        <v>93.66776987334171</v>
      </c>
    </row>
    <row r="45" spans="1:5" ht="18" customHeight="1">
      <c r="A45" s="52">
        <v>1001</v>
      </c>
      <c r="B45" s="48" t="s">
        <v>90</v>
      </c>
      <c r="C45" s="51">
        <f>SUM('Таблица №8'!F259)</f>
        <v>3940.23421</v>
      </c>
      <c r="D45" s="51">
        <f>SUM('Таблица №8'!G259)</f>
        <v>3940.23421</v>
      </c>
      <c r="E45" s="51">
        <f t="shared" si="0"/>
        <v>100</v>
      </c>
    </row>
    <row r="46" spans="1:5" ht="18" customHeight="1">
      <c r="A46" s="52">
        <v>1003</v>
      </c>
      <c r="B46" s="48" t="s">
        <v>93</v>
      </c>
      <c r="C46" s="51">
        <f>SUM('Таблица №8'!F262)</f>
        <v>14543.033000000001</v>
      </c>
      <c r="D46" s="51">
        <f>SUM('Таблица №8'!G262)</f>
        <v>13571.885409999997</v>
      </c>
      <c r="E46" s="51">
        <f t="shared" si="0"/>
        <v>93.32224859834943</v>
      </c>
    </row>
    <row r="47" spans="1:5" ht="18" customHeight="1">
      <c r="A47" s="52">
        <v>1004</v>
      </c>
      <c r="B47" s="48" t="s">
        <v>149</v>
      </c>
      <c r="C47" s="51">
        <f>SUM('Таблица №8'!F274)</f>
        <v>7461.451</v>
      </c>
      <c r="D47" s="51">
        <f>SUM('Таблица №8'!G274)</f>
        <v>6848.250999999999</v>
      </c>
      <c r="E47" s="51">
        <f t="shared" si="0"/>
        <v>91.78175933876668</v>
      </c>
    </row>
    <row r="48" spans="1:5" ht="18" customHeight="1">
      <c r="A48" s="52" t="s">
        <v>248</v>
      </c>
      <c r="B48" s="48" t="s">
        <v>249</v>
      </c>
      <c r="C48" s="51">
        <f>SUM('Таблица №8'!F284)</f>
        <v>1186.49</v>
      </c>
      <c r="D48" s="51">
        <f>SUM('Таблица №8'!G284)</f>
        <v>1052.82705</v>
      </c>
      <c r="E48" s="51">
        <f t="shared" si="0"/>
        <v>88.73459110485551</v>
      </c>
    </row>
    <row r="49" spans="1:5" ht="18" customHeight="1">
      <c r="A49" s="52" t="s">
        <v>150</v>
      </c>
      <c r="B49" s="48" t="s">
        <v>97</v>
      </c>
      <c r="C49" s="51">
        <f>SUM(C51)</f>
        <v>600</v>
      </c>
      <c r="D49" s="51">
        <f>SUM(D51)</f>
        <v>600</v>
      </c>
      <c r="E49" s="51">
        <f t="shared" si="0"/>
        <v>100</v>
      </c>
    </row>
    <row r="50" spans="1:5" ht="0.75" customHeight="1" hidden="1">
      <c r="A50" s="52" t="s">
        <v>236</v>
      </c>
      <c r="B50" s="48" t="s">
        <v>237</v>
      </c>
      <c r="C50" s="51" t="e">
        <f>SUM('Таблица №8'!#REF!)</f>
        <v>#REF!</v>
      </c>
      <c r="D50" s="51" t="e">
        <f>SUM('Таблица №8'!#REF!)</f>
        <v>#REF!</v>
      </c>
      <c r="E50" s="51" t="e">
        <f t="shared" si="0"/>
        <v>#REF!</v>
      </c>
    </row>
    <row r="51" spans="1:5" ht="26.25" customHeight="1">
      <c r="A51" s="52" t="s">
        <v>98</v>
      </c>
      <c r="B51" s="48" t="s">
        <v>238</v>
      </c>
      <c r="C51" s="51">
        <f>SUM('Таблица №8'!F290)</f>
        <v>600</v>
      </c>
      <c r="D51" s="51">
        <f>SUM('Таблица №8'!G290)</f>
        <v>600</v>
      </c>
      <c r="E51" s="51">
        <f t="shared" si="0"/>
        <v>100</v>
      </c>
    </row>
    <row r="52" spans="1:5" ht="18" customHeight="1">
      <c r="A52" s="52" t="s">
        <v>151</v>
      </c>
      <c r="B52" s="48" t="s">
        <v>99</v>
      </c>
      <c r="C52" s="51">
        <f>SUM(C53:C54)</f>
        <v>2449.415</v>
      </c>
      <c r="D52" s="51">
        <f>SUM(D53:D54)</f>
        <v>2449.415</v>
      </c>
      <c r="E52" s="51">
        <f t="shared" si="0"/>
        <v>100</v>
      </c>
    </row>
    <row r="53" spans="1:5" ht="18" customHeight="1" hidden="1">
      <c r="A53" s="52" t="s">
        <v>216</v>
      </c>
      <c r="B53" s="48" t="s">
        <v>215</v>
      </c>
      <c r="C53" s="51">
        <v>0</v>
      </c>
      <c r="D53" s="51">
        <v>0</v>
      </c>
      <c r="E53" s="51" t="e">
        <f t="shared" si="0"/>
        <v>#DIV/0!</v>
      </c>
    </row>
    <row r="54" spans="1:5" ht="18" customHeight="1">
      <c r="A54" s="52" t="s">
        <v>101</v>
      </c>
      <c r="B54" s="48" t="s">
        <v>100</v>
      </c>
      <c r="C54" s="51">
        <f>SUM('Приложение 3'!G301)</f>
        <v>2449.415</v>
      </c>
      <c r="D54" s="51">
        <f>SUM('Приложение 3'!H301)</f>
        <v>2449.415</v>
      </c>
      <c r="E54" s="51">
        <f t="shared" si="0"/>
        <v>100</v>
      </c>
    </row>
    <row r="55" spans="1:5" ht="29.25" customHeight="1">
      <c r="A55" s="52" t="s">
        <v>152</v>
      </c>
      <c r="B55" s="48" t="s">
        <v>102</v>
      </c>
      <c r="C55" s="51">
        <f>SUM(C56:C56)</f>
        <v>0</v>
      </c>
      <c r="D55" s="51">
        <f>SUM(D56:D56)</f>
        <v>0</v>
      </c>
      <c r="E55" s="51">
        <v>0</v>
      </c>
    </row>
    <row r="56" spans="1:5" ht="31.5" customHeight="1" hidden="1">
      <c r="A56" s="52" t="s">
        <v>104</v>
      </c>
      <c r="B56" s="48" t="s">
        <v>103</v>
      </c>
      <c r="C56" s="51">
        <f>SUM('Таблица №8'!F298)</f>
        <v>0</v>
      </c>
      <c r="D56" s="51">
        <f>SUM('Таблица №8'!G298)</f>
        <v>0</v>
      </c>
      <c r="E56" s="51" t="e">
        <f t="shared" si="0"/>
        <v>#DIV/0!</v>
      </c>
    </row>
    <row r="57" spans="1:5" ht="43.5" customHeight="1">
      <c r="A57" s="52" t="s">
        <v>185</v>
      </c>
      <c r="B57" s="48" t="s">
        <v>184</v>
      </c>
      <c r="C57" s="51">
        <f>SUM(C58:C58)</f>
        <v>22067</v>
      </c>
      <c r="D57" s="51">
        <f>SUM(D58:D58)</f>
        <v>22067</v>
      </c>
      <c r="E57" s="51">
        <f t="shared" si="0"/>
        <v>100</v>
      </c>
    </row>
    <row r="58" spans="1:5" ht="22.5" customHeight="1">
      <c r="A58" s="52" t="s">
        <v>187</v>
      </c>
      <c r="B58" s="48" t="s">
        <v>186</v>
      </c>
      <c r="C58" s="51">
        <f>SUM('Приложение 3'!G311)</f>
        <v>22067</v>
      </c>
      <c r="D58" s="51">
        <f>SUM('Приложение 3'!H311)</f>
        <v>22067</v>
      </c>
      <c r="E58" s="51">
        <f t="shared" si="0"/>
        <v>100</v>
      </c>
    </row>
    <row r="59" spans="1:5" ht="21" customHeight="1">
      <c r="A59" s="49"/>
      <c r="B59" s="50" t="s">
        <v>153</v>
      </c>
      <c r="C59" s="51">
        <f>C8+C18+C20+C22+C26+C30+C32+C38+C44+C49+C52+C55+C57+C42</f>
        <v>433348.2332799999</v>
      </c>
      <c r="D59" s="51">
        <f>D8+D18+D20+D22+D26+D30+D32+D38+D44+D49+D52+D55+D57+D42</f>
        <v>394410.05220000003</v>
      </c>
      <c r="E59" s="51">
        <f t="shared" si="0"/>
        <v>91.01457486389688</v>
      </c>
    </row>
  </sheetData>
  <sheetProtection/>
  <mergeCells count="6">
    <mergeCell ref="C6:E6"/>
    <mergeCell ref="A5:E5"/>
    <mergeCell ref="B3:E3"/>
    <mergeCell ref="B4:E4"/>
    <mergeCell ref="B1:E1"/>
    <mergeCell ref="B2:E2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3"/>
  <sheetViews>
    <sheetView showGridLines="0" zoomScale="90" zoomScaleNormal="90" zoomScalePageLayoutView="0" workbookViewId="0" topLeftCell="A1">
      <pane ySplit="9" topLeftCell="A261" activePane="bottomLeft" state="frozen"/>
      <selection pane="topLeft" activeCell="A1" sqref="A1"/>
      <selection pane="bottomLeft" activeCell="L100" sqref="L100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7" customWidth="1"/>
    <col min="5" max="5" width="5.421875" style="32" customWidth="1"/>
    <col min="6" max="6" width="6.00390625" style="11" customWidth="1"/>
    <col min="7" max="7" width="10.140625" style="15" customWidth="1"/>
    <col min="8" max="8" width="11.421875" style="2" customWidth="1"/>
    <col min="9" max="9" width="11.00390625" style="2" customWidth="1"/>
    <col min="10" max="16384" width="9.140625" style="2" customWidth="1"/>
  </cols>
  <sheetData>
    <row r="1" spans="5:9" ht="18">
      <c r="E1" s="28"/>
      <c r="F1" s="23"/>
      <c r="G1" s="112" t="s">
        <v>320</v>
      </c>
      <c r="H1" s="112"/>
      <c r="I1" s="112"/>
    </row>
    <row r="2" spans="5:9" ht="18.75">
      <c r="E2" s="28"/>
      <c r="F2" s="24"/>
      <c r="G2" s="112" t="s">
        <v>321</v>
      </c>
      <c r="H2" s="112"/>
      <c r="I2" s="112"/>
    </row>
    <row r="3" spans="5:9" ht="18.75">
      <c r="E3" s="28"/>
      <c r="F3" s="24"/>
      <c r="G3" s="112" t="s">
        <v>322</v>
      </c>
      <c r="H3" s="112"/>
      <c r="I3" s="112"/>
    </row>
    <row r="4" spans="5:9" ht="18.75" customHeight="1">
      <c r="E4" s="24"/>
      <c r="F4" s="24"/>
      <c r="G4" s="112" t="s">
        <v>323</v>
      </c>
      <c r="H4" s="112"/>
      <c r="I4" s="112"/>
    </row>
    <row r="5" spans="1:9" ht="18.75">
      <c r="A5" s="8"/>
      <c r="B5" s="1"/>
      <c r="C5" s="1"/>
      <c r="D5" s="29"/>
      <c r="E5" s="113" t="s">
        <v>324</v>
      </c>
      <c r="F5" s="113"/>
      <c r="G5" s="113"/>
      <c r="H5" s="113"/>
      <c r="I5" s="113"/>
    </row>
    <row r="6" spans="1:9" ht="33.75" customHeight="1">
      <c r="A6" s="111" t="s">
        <v>325</v>
      </c>
      <c r="B6" s="111"/>
      <c r="C6" s="111"/>
      <c r="D6" s="111"/>
      <c r="E6" s="111"/>
      <c r="F6" s="111"/>
      <c r="G6" s="111"/>
      <c r="H6" s="111"/>
      <c r="I6" s="111"/>
    </row>
    <row r="7" spans="1:7" ht="12.75">
      <c r="A7" s="6"/>
      <c r="B7" s="3"/>
      <c r="C7" s="3"/>
      <c r="D7" s="30"/>
      <c r="E7" s="31"/>
      <c r="F7" s="9"/>
      <c r="G7" s="14"/>
    </row>
    <row r="8" spans="1:9" ht="12.75">
      <c r="A8" s="6"/>
      <c r="B8" s="3"/>
      <c r="C8" s="3"/>
      <c r="D8" s="30"/>
      <c r="E8" s="31"/>
      <c r="F8" s="9"/>
      <c r="G8" s="110" t="s">
        <v>165</v>
      </c>
      <c r="H8" s="110"/>
      <c r="I8" s="110"/>
    </row>
    <row r="9" spans="1:9" ht="91.5" customHeight="1">
      <c r="A9" s="96" t="s">
        <v>1</v>
      </c>
      <c r="B9" s="97" t="s">
        <v>194</v>
      </c>
      <c r="C9" s="98" t="s">
        <v>195</v>
      </c>
      <c r="D9" s="99" t="s">
        <v>245</v>
      </c>
      <c r="E9" s="91" t="s">
        <v>8</v>
      </c>
      <c r="F9" s="100" t="s">
        <v>166</v>
      </c>
      <c r="G9" s="101" t="s">
        <v>317</v>
      </c>
      <c r="H9" s="101" t="s">
        <v>319</v>
      </c>
      <c r="I9" s="101" t="s">
        <v>318</v>
      </c>
    </row>
    <row r="10" spans="1:9" ht="20.25" customHeight="1" outlineLevel="1">
      <c r="A10" s="54" t="s">
        <v>28</v>
      </c>
      <c r="B10" s="79" t="s">
        <v>29</v>
      </c>
      <c r="C10" s="79"/>
      <c r="D10" s="79"/>
      <c r="E10" s="81" t="s">
        <v>0</v>
      </c>
      <c r="F10" s="80"/>
      <c r="G10" s="102">
        <f>SUM(G11)</f>
        <v>437.36688</v>
      </c>
      <c r="H10" s="102">
        <f>SUM(H11)</f>
        <v>437.36688</v>
      </c>
      <c r="I10" s="102">
        <f aca="true" t="shared" si="0" ref="I10:I72">SUM(H10/G10)*100</f>
        <v>100</v>
      </c>
    </row>
    <row r="11" spans="1:9" ht="12.75" outlineLevel="1">
      <c r="A11" s="54" t="s">
        <v>106</v>
      </c>
      <c r="B11" s="79" t="s">
        <v>29</v>
      </c>
      <c r="C11" s="79" t="s">
        <v>44</v>
      </c>
      <c r="D11" s="79"/>
      <c r="E11" s="81"/>
      <c r="F11" s="80"/>
      <c r="G11" s="102">
        <f>SUM(G12)</f>
        <v>437.36688</v>
      </c>
      <c r="H11" s="102">
        <f>SUM(H12)</f>
        <v>437.36688</v>
      </c>
      <c r="I11" s="102">
        <f t="shared" si="0"/>
        <v>100</v>
      </c>
    </row>
    <row r="12" spans="1:9" ht="34.5" customHeight="1" outlineLevel="2">
      <c r="A12" s="54" t="s">
        <v>27</v>
      </c>
      <c r="B12" s="79" t="s">
        <v>29</v>
      </c>
      <c r="C12" s="79" t="s">
        <v>30</v>
      </c>
      <c r="D12" s="79"/>
      <c r="E12" s="81"/>
      <c r="F12" s="80"/>
      <c r="G12" s="102">
        <f>SUM(G13+G16)</f>
        <v>437.36688</v>
      </c>
      <c r="H12" s="102">
        <f>SUM(H13+H16)</f>
        <v>437.36688</v>
      </c>
      <c r="I12" s="102">
        <f t="shared" si="0"/>
        <v>100</v>
      </c>
    </row>
    <row r="13" spans="1:9" ht="23.25" customHeight="1" outlineLevel="2">
      <c r="A13" s="54" t="s">
        <v>109</v>
      </c>
      <c r="B13" s="79" t="s">
        <v>29</v>
      </c>
      <c r="C13" s="79" t="s">
        <v>30</v>
      </c>
      <c r="D13" s="79" t="s">
        <v>11</v>
      </c>
      <c r="E13" s="81" t="s">
        <v>9</v>
      </c>
      <c r="F13" s="80"/>
      <c r="G13" s="102">
        <f>SUM(G14:G15)</f>
        <v>437.36688</v>
      </c>
      <c r="H13" s="102">
        <f>SUM(H14:H15)</f>
        <v>437.36688</v>
      </c>
      <c r="I13" s="102">
        <f t="shared" si="0"/>
        <v>100</v>
      </c>
    </row>
    <row r="14" spans="1:9" ht="46.5" customHeight="1" outlineLevel="2">
      <c r="A14" s="54" t="s">
        <v>107</v>
      </c>
      <c r="B14" s="79" t="s">
        <v>29</v>
      </c>
      <c r="C14" s="79" t="s">
        <v>30</v>
      </c>
      <c r="D14" s="79" t="s">
        <v>11</v>
      </c>
      <c r="E14" s="81" t="s">
        <v>9</v>
      </c>
      <c r="F14" s="80">
        <v>100</v>
      </c>
      <c r="G14" s="102">
        <f>332.4+41+0.1-0.912+6.36688</f>
        <v>378.95488</v>
      </c>
      <c r="H14" s="102">
        <f>332.4+41+0.1-0.912+6.36688</f>
        <v>378.95488</v>
      </c>
      <c r="I14" s="102">
        <f t="shared" si="0"/>
        <v>100</v>
      </c>
    </row>
    <row r="15" spans="1:9" s="4" customFormat="1" ht="27.75" customHeight="1" outlineLevel="3">
      <c r="A15" s="54" t="s">
        <v>108</v>
      </c>
      <c r="B15" s="79" t="s">
        <v>29</v>
      </c>
      <c r="C15" s="79" t="s">
        <v>30</v>
      </c>
      <c r="D15" s="79" t="s">
        <v>11</v>
      </c>
      <c r="E15" s="81">
        <v>0</v>
      </c>
      <c r="F15" s="80">
        <v>200</v>
      </c>
      <c r="G15" s="102">
        <f>47.5+10+0.912</f>
        <v>58.412</v>
      </c>
      <c r="H15" s="102">
        <f>47.5+10+0.912</f>
        <v>58.412</v>
      </c>
      <c r="I15" s="102">
        <f t="shared" si="0"/>
        <v>100</v>
      </c>
    </row>
    <row r="16" spans="1:9" s="4" customFormat="1" ht="25.5" customHeight="1" hidden="1" outlineLevel="3">
      <c r="A16" s="54" t="s">
        <v>167</v>
      </c>
      <c r="B16" s="79" t="s">
        <v>29</v>
      </c>
      <c r="C16" s="79" t="s">
        <v>30</v>
      </c>
      <c r="D16" s="79" t="s">
        <v>16</v>
      </c>
      <c r="E16" s="81">
        <v>0</v>
      </c>
      <c r="F16" s="80"/>
      <c r="G16" s="102">
        <f>SUM(G17)</f>
        <v>0</v>
      </c>
      <c r="H16" s="102">
        <f>SUM(H17)</f>
        <v>0</v>
      </c>
      <c r="I16" s="102">
        <v>0</v>
      </c>
    </row>
    <row r="17" spans="1:9" s="4" customFormat="1" ht="12.75" hidden="1" outlineLevel="3">
      <c r="A17" s="54" t="s">
        <v>155</v>
      </c>
      <c r="B17" s="79" t="s">
        <v>29</v>
      </c>
      <c r="C17" s="79" t="s">
        <v>30</v>
      </c>
      <c r="D17" s="79" t="s">
        <v>16</v>
      </c>
      <c r="E17" s="81">
        <v>0</v>
      </c>
      <c r="F17" s="80">
        <v>800</v>
      </c>
      <c r="G17" s="102">
        <f>0.05+0.05-0.1</f>
        <v>0</v>
      </c>
      <c r="H17" s="102">
        <f>0.05+0.05-0.1</f>
        <v>0</v>
      </c>
      <c r="I17" s="102">
        <v>0</v>
      </c>
    </row>
    <row r="18" spans="1:9" s="4" customFormat="1" ht="18" customHeight="1" outlineLevel="3">
      <c r="A18" s="54" t="s">
        <v>32</v>
      </c>
      <c r="B18" s="79" t="s">
        <v>33</v>
      </c>
      <c r="C18" s="79"/>
      <c r="D18" s="79"/>
      <c r="E18" s="81"/>
      <c r="F18" s="80"/>
      <c r="G18" s="102">
        <f>SUM(G19)</f>
        <v>1354.58524</v>
      </c>
      <c r="H18" s="102">
        <f>SUM(H19)</f>
        <v>1354.58524</v>
      </c>
      <c r="I18" s="102">
        <f t="shared" si="0"/>
        <v>100</v>
      </c>
    </row>
    <row r="19" spans="1:9" s="4" customFormat="1" ht="12.75" outlineLevel="3">
      <c r="A19" s="54" t="s">
        <v>106</v>
      </c>
      <c r="B19" s="79" t="s">
        <v>33</v>
      </c>
      <c r="C19" s="79" t="s">
        <v>44</v>
      </c>
      <c r="D19" s="93"/>
      <c r="E19" s="90"/>
      <c r="F19" s="92"/>
      <c r="G19" s="102">
        <f>SUM(G20)</f>
        <v>1354.58524</v>
      </c>
      <c r="H19" s="102">
        <f>SUM(H20)</f>
        <v>1354.58524</v>
      </c>
      <c r="I19" s="102">
        <f t="shared" si="0"/>
        <v>100</v>
      </c>
    </row>
    <row r="20" spans="1:9" s="4" customFormat="1" ht="29.25" customHeight="1" outlineLevel="3">
      <c r="A20" s="54" t="s">
        <v>35</v>
      </c>
      <c r="B20" s="79" t="s">
        <v>33</v>
      </c>
      <c r="C20" s="79" t="s">
        <v>34</v>
      </c>
      <c r="D20" s="79"/>
      <c r="E20" s="81"/>
      <c r="F20" s="80"/>
      <c r="G20" s="102">
        <f>SUM(G21+G24)</f>
        <v>1354.58524</v>
      </c>
      <c r="H20" s="102">
        <f>SUM(H21+H24)</f>
        <v>1354.58524</v>
      </c>
      <c r="I20" s="102">
        <f t="shared" si="0"/>
        <v>100</v>
      </c>
    </row>
    <row r="21" spans="1:9" s="4" customFormat="1" ht="29.25" customHeight="1" outlineLevel="3">
      <c r="A21" s="54" t="s">
        <v>109</v>
      </c>
      <c r="B21" s="79" t="s">
        <v>33</v>
      </c>
      <c r="C21" s="79" t="s">
        <v>34</v>
      </c>
      <c r="D21" s="79" t="s">
        <v>11</v>
      </c>
      <c r="E21" s="81" t="s">
        <v>9</v>
      </c>
      <c r="F21" s="80"/>
      <c r="G21" s="102">
        <f>SUM(G22:G23)</f>
        <v>1349.58524</v>
      </c>
      <c r="H21" s="102">
        <f>SUM(H22:H23)</f>
        <v>1349.58524</v>
      </c>
      <c r="I21" s="102">
        <f t="shared" si="0"/>
        <v>100</v>
      </c>
    </row>
    <row r="22" spans="1:9" s="4" customFormat="1" ht="45" customHeight="1" outlineLevel="3">
      <c r="A22" s="54" t="s">
        <v>107</v>
      </c>
      <c r="B22" s="79" t="s">
        <v>33</v>
      </c>
      <c r="C22" s="79" t="s">
        <v>34</v>
      </c>
      <c r="D22" s="79" t="s">
        <v>11</v>
      </c>
      <c r="E22" s="81" t="s">
        <v>9</v>
      </c>
      <c r="F22" s="80">
        <v>100</v>
      </c>
      <c r="G22" s="102">
        <f>1460.8-41-100+0.5+2.85389+8.75595</f>
        <v>1331.90984</v>
      </c>
      <c r="H22" s="102">
        <f>1460.8-41-100+0.5+2.85389+8.75595</f>
        <v>1331.90984</v>
      </c>
      <c r="I22" s="102">
        <f t="shared" si="0"/>
        <v>100</v>
      </c>
    </row>
    <row r="23" spans="1:9" s="4" customFormat="1" ht="24" outlineLevel="3">
      <c r="A23" s="54" t="s">
        <v>108</v>
      </c>
      <c r="B23" s="79" t="s">
        <v>33</v>
      </c>
      <c r="C23" s="79" t="s">
        <v>34</v>
      </c>
      <c r="D23" s="79" t="s">
        <v>11</v>
      </c>
      <c r="E23" s="81">
        <v>0</v>
      </c>
      <c r="F23" s="80">
        <v>200</v>
      </c>
      <c r="G23" s="102">
        <f>24.7-7.0246</f>
        <v>17.6754</v>
      </c>
      <c r="H23" s="102">
        <f>24.7-7.0246</f>
        <v>17.6754</v>
      </c>
      <c r="I23" s="102">
        <f t="shared" si="0"/>
        <v>100</v>
      </c>
    </row>
    <row r="24" spans="1:9" s="4" customFormat="1" ht="24.75" customHeight="1" outlineLevel="3">
      <c r="A24" s="54" t="s">
        <v>167</v>
      </c>
      <c r="B24" s="79" t="s">
        <v>33</v>
      </c>
      <c r="C24" s="79" t="s">
        <v>34</v>
      </c>
      <c r="D24" s="79" t="s">
        <v>16</v>
      </c>
      <c r="E24" s="81">
        <v>0</v>
      </c>
      <c r="F24" s="80"/>
      <c r="G24" s="102">
        <f>SUM(G25)</f>
        <v>5</v>
      </c>
      <c r="H24" s="102">
        <f>SUM(H25)</f>
        <v>5</v>
      </c>
      <c r="I24" s="102">
        <f t="shared" si="0"/>
        <v>100</v>
      </c>
    </row>
    <row r="25" spans="1:9" s="4" customFormat="1" ht="12.75" outlineLevel="3">
      <c r="A25" s="54" t="s">
        <v>155</v>
      </c>
      <c r="B25" s="79" t="s">
        <v>33</v>
      </c>
      <c r="C25" s="79" t="s">
        <v>34</v>
      </c>
      <c r="D25" s="79" t="s">
        <v>16</v>
      </c>
      <c r="E25" s="81">
        <v>0</v>
      </c>
      <c r="F25" s="80">
        <v>800</v>
      </c>
      <c r="G25" s="102">
        <f>0.5+5-0.5</f>
        <v>5</v>
      </c>
      <c r="H25" s="102">
        <f>0.5+5-0.5</f>
        <v>5</v>
      </c>
      <c r="I25" s="102">
        <f t="shared" si="0"/>
        <v>100</v>
      </c>
    </row>
    <row r="26" spans="1:9" s="4" customFormat="1" ht="23.25" customHeight="1" outlineLevel="3">
      <c r="A26" s="54" t="s">
        <v>266</v>
      </c>
      <c r="B26" s="79" t="s">
        <v>42</v>
      </c>
      <c r="C26" s="79"/>
      <c r="D26" s="79"/>
      <c r="E26" s="81"/>
      <c r="F26" s="80"/>
      <c r="G26" s="102">
        <f>SUM(G27+G93+G98+G105+G135+G150+G154+G231+G265+G296+G300+G305+G309+G260)</f>
        <v>431556.28115999995</v>
      </c>
      <c r="H26" s="102">
        <f>SUM(H27+H93+H98+H105+H135+H150+H154+H231+H265+H296+H300+H305+H309+H260)</f>
        <v>392618.10008</v>
      </c>
      <c r="I26" s="102">
        <f t="shared" si="0"/>
        <v>90.97726466283001</v>
      </c>
    </row>
    <row r="27" spans="1:9" s="4" customFormat="1" ht="12.75" outlineLevel="3">
      <c r="A27" s="54" t="s">
        <v>106</v>
      </c>
      <c r="B27" s="79" t="s">
        <v>42</v>
      </c>
      <c r="C27" s="79" t="s">
        <v>44</v>
      </c>
      <c r="D27" s="79"/>
      <c r="E27" s="81"/>
      <c r="F27" s="80"/>
      <c r="G27" s="102">
        <f>SUM(G28+G31+G55+G59+G62+G51)</f>
        <v>79719.30178999998</v>
      </c>
      <c r="H27" s="102">
        <f>SUM(H28+H31+H55+H59+H62+H51)</f>
        <v>79496.65039999998</v>
      </c>
      <c r="I27" s="102">
        <f t="shared" si="0"/>
        <v>99.72070579520815</v>
      </c>
    </row>
    <row r="28" spans="1:9" s="4" customFormat="1" ht="24" outlineLevel="3">
      <c r="A28" s="54" t="s">
        <v>36</v>
      </c>
      <c r="B28" s="79" t="s">
        <v>42</v>
      </c>
      <c r="C28" s="79" t="s">
        <v>45</v>
      </c>
      <c r="D28" s="79"/>
      <c r="E28" s="81"/>
      <c r="F28" s="80"/>
      <c r="G28" s="102">
        <f>SUM(G30)</f>
        <v>1684.7729499999998</v>
      </c>
      <c r="H28" s="102">
        <f>SUM(H30)</f>
        <v>1684.7729499999998</v>
      </c>
      <c r="I28" s="102">
        <f t="shared" si="0"/>
        <v>100</v>
      </c>
    </row>
    <row r="29" spans="1:9" s="4" customFormat="1" ht="33" customHeight="1" outlineLevel="3">
      <c r="A29" s="54" t="s">
        <v>109</v>
      </c>
      <c r="B29" s="79" t="s">
        <v>42</v>
      </c>
      <c r="C29" s="79" t="s">
        <v>45</v>
      </c>
      <c r="D29" s="79" t="s">
        <v>11</v>
      </c>
      <c r="E29" s="81" t="s">
        <v>9</v>
      </c>
      <c r="F29" s="80"/>
      <c r="G29" s="102">
        <f>SUM(G30)</f>
        <v>1684.7729499999998</v>
      </c>
      <c r="H29" s="102">
        <f>SUM(H30)</f>
        <v>1684.7729499999998</v>
      </c>
      <c r="I29" s="102">
        <f t="shared" si="0"/>
        <v>100</v>
      </c>
    </row>
    <row r="30" spans="1:9" ht="48.75" customHeight="1" outlineLevel="1">
      <c r="A30" s="54" t="s">
        <v>107</v>
      </c>
      <c r="B30" s="79" t="s">
        <v>42</v>
      </c>
      <c r="C30" s="79" t="s">
        <v>45</v>
      </c>
      <c r="D30" s="79" t="s">
        <v>11</v>
      </c>
      <c r="E30" s="81">
        <v>0</v>
      </c>
      <c r="F30" s="80">
        <v>100</v>
      </c>
      <c r="G30" s="102">
        <f>1367.1+100+197.74+19.93295</f>
        <v>1684.7729499999998</v>
      </c>
      <c r="H30" s="102">
        <f>1367.1+100+197.74+19.93295</f>
        <v>1684.7729499999998</v>
      </c>
      <c r="I30" s="102">
        <f t="shared" si="0"/>
        <v>100</v>
      </c>
    </row>
    <row r="31" spans="1:9" ht="36.75" customHeight="1" outlineLevel="2">
      <c r="A31" s="55" t="s">
        <v>37</v>
      </c>
      <c r="B31" s="79" t="s">
        <v>42</v>
      </c>
      <c r="C31" s="79" t="s">
        <v>43</v>
      </c>
      <c r="D31" s="79"/>
      <c r="E31" s="81"/>
      <c r="F31" s="80"/>
      <c r="G31" s="102">
        <f>SUM(G32+G49)</f>
        <v>28614.950849999994</v>
      </c>
      <c r="H31" s="102">
        <f>SUM(H32+H49)</f>
        <v>28614.950849999994</v>
      </c>
      <c r="I31" s="102">
        <f t="shared" si="0"/>
        <v>100</v>
      </c>
    </row>
    <row r="32" spans="1:9" s="4" customFormat="1" ht="27" customHeight="1" outlineLevel="3">
      <c r="A32" s="54" t="s">
        <v>109</v>
      </c>
      <c r="B32" s="79" t="s">
        <v>42</v>
      </c>
      <c r="C32" s="79" t="s">
        <v>43</v>
      </c>
      <c r="D32" s="79" t="s">
        <v>11</v>
      </c>
      <c r="E32" s="81">
        <v>0</v>
      </c>
      <c r="F32" s="80"/>
      <c r="G32" s="102">
        <f>SUM(G33+G36)</f>
        <v>28568.670849999995</v>
      </c>
      <c r="H32" s="102">
        <f>SUM(H33+H36)</f>
        <v>28568.670849999995</v>
      </c>
      <c r="I32" s="102">
        <f t="shared" si="0"/>
        <v>100</v>
      </c>
    </row>
    <row r="33" spans="1:9" ht="12.75" outlineLevel="1">
      <c r="A33" s="55" t="s">
        <v>3</v>
      </c>
      <c r="B33" s="79" t="s">
        <v>42</v>
      </c>
      <c r="C33" s="79" t="s">
        <v>43</v>
      </c>
      <c r="D33" s="79" t="s">
        <v>11</v>
      </c>
      <c r="E33" s="81">
        <v>0</v>
      </c>
      <c r="F33" s="80"/>
      <c r="G33" s="102">
        <f>SUM(G34:G35)</f>
        <v>26511.070849999996</v>
      </c>
      <c r="H33" s="102">
        <f>SUM(H34:H35)</f>
        <v>26511.070849999996</v>
      </c>
      <c r="I33" s="102">
        <f t="shared" si="0"/>
        <v>100</v>
      </c>
    </row>
    <row r="34" spans="1:9" ht="49.5" customHeight="1" outlineLevel="2">
      <c r="A34" s="55" t="s">
        <v>107</v>
      </c>
      <c r="B34" s="79" t="s">
        <v>42</v>
      </c>
      <c r="C34" s="79" t="s">
        <v>43</v>
      </c>
      <c r="D34" s="79" t="s">
        <v>11</v>
      </c>
      <c r="E34" s="81">
        <v>0</v>
      </c>
      <c r="F34" s="80">
        <v>100</v>
      </c>
      <c r="G34" s="102">
        <f>24910+418-30-17428+17428-197.74-22.12912-8.75595+18.7911+124.7-28.12124</f>
        <v>25184.744789999997</v>
      </c>
      <c r="H34" s="102">
        <f>24910+418-30-17428+17428-197.74-22.12912-8.75595+18.7911+124.7-28.12124</f>
        <v>25184.744789999997</v>
      </c>
      <c r="I34" s="102">
        <f t="shared" si="0"/>
        <v>100</v>
      </c>
    </row>
    <row r="35" spans="1:9" ht="24">
      <c r="A35" s="55" t="s">
        <v>108</v>
      </c>
      <c r="B35" s="79" t="s">
        <v>42</v>
      </c>
      <c r="C35" s="79" t="s">
        <v>43</v>
      </c>
      <c r="D35" s="79" t="s">
        <v>11</v>
      </c>
      <c r="E35" s="81">
        <v>0</v>
      </c>
      <c r="F35" s="80">
        <v>200</v>
      </c>
      <c r="G35" s="102">
        <f>1540.9-10+25-18.7911-210.78284</f>
        <v>1326.32606</v>
      </c>
      <c r="H35" s="102">
        <f>1540.9-10+25-18.7911-210.78284</f>
        <v>1326.32606</v>
      </c>
      <c r="I35" s="102">
        <f t="shared" si="0"/>
        <v>100</v>
      </c>
    </row>
    <row r="36" spans="1:9" ht="23.25" customHeight="1" outlineLevel="2">
      <c r="A36" s="54" t="s">
        <v>109</v>
      </c>
      <c r="B36" s="79" t="s">
        <v>42</v>
      </c>
      <c r="C36" s="79" t="s">
        <v>43</v>
      </c>
      <c r="D36" s="79" t="s">
        <v>11</v>
      </c>
      <c r="E36" s="81" t="s">
        <v>9</v>
      </c>
      <c r="F36" s="80"/>
      <c r="G36" s="105">
        <f>SUM(G37+G40+G43+G46)</f>
        <v>2057.6</v>
      </c>
      <c r="H36" s="105">
        <f>SUM(H37+H40+H43+H46)</f>
        <v>2057.6</v>
      </c>
      <c r="I36" s="102">
        <f t="shared" si="0"/>
        <v>100</v>
      </c>
    </row>
    <row r="37" spans="1:9" ht="31.5" customHeight="1" outlineLevel="1">
      <c r="A37" s="54" t="s">
        <v>110</v>
      </c>
      <c r="B37" s="79" t="s">
        <v>42</v>
      </c>
      <c r="C37" s="79" t="s">
        <v>43</v>
      </c>
      <c r="D37" s="79" t="s">
        <v>11</v>
      </c>
      <c r="E37" s="81" t="s">
        <v>9</v>
      </c>
      <c r="F37" s="80"/>
      <c r="G37" s="102">
        <f>SUM(G38:G39)</f>
        <v>297.3</v>
      </c>
      <c r="H37" s="102">
        <f>SUM(H38:H39)</f>
        <v>297.3</v>
      </c>
      <c r="I37" s="102">
        <f t="shared" si="0"/>
        <v>100</v>
      </c>
    </row>
    <row r="38" spans="1:9" ht="45.75" customHeight="1" outlineLevel="5">
      <c r="A38" s="54" t="s">
        <v>107</v>
      </c>
      <c r="B38" s="79" t="s">
        <v>42</v>
      </c>
      <c r="C38" s="79" t="s">
        <v>43</v>
      </c>
      <c r="D38" s="79" t="s">
        <v>11</v>
      </c>
      <c r="E38" s="81" t="s">
        <v>9</v>
      </c>
      <c r="F38" s="80">
        <v>100</v>
      </c>
      <c r="G38" s="105">
        <f>216.3-67.4-0.1+148.5</f>
        <v>297.3</v>
      </c>
      <c r="H38" s="105">
        <f>216.3-67.4-0.1+148.5</f>
        <v>297.3</v>
      </c>
      <c r="I38" s="102">
        <f t="shared" si="0"/>
        <v>100</v>
      </c>
    </row>
    <row r="39" spans="1:9" ht="24" hidden="1" outlineLevel="5">
      <c r="A39" s="54" t="s">
        <v>108</v>
      </c>
      <c r="B39" s="79" t="s">
        <v>42</v>
      </c>
      <c r="C39" s="79" t="s">
        <v>43</v>
      </c>
      <c r="D39" s="79" t="s">
        <v>11</v>
      </c>
      <c r="E39" s="81" t="s">
        <v>9</v>
      </c>
      <c r="F39" s="80">
        <v>200</v>
      </c>
      <c r="G39" s="105">
        <f>81.8-81.8</f>
        <v>0</v>
      </c>
      <c r="H39" s="105">
        <f>81.8-81.8</f>
        <v>0</v>
      </c>
      <c r="I39" s="102" t="e">
        <f t="shared" si="0"/>
        <v>#DIV/0!</v>
      </c>
    </row>
    <row r="40" spans="1:9" ht="27" customHeight="1" outlineLevel="5">
      <c r="A40" s="54" t="s">
        <v>111</v>
      </c>
      <c r="B40" s="79" t="s">
        <v>42</v>
      </c>
      <c r="C40" s="79" t="s">
        <v>43</v>
      </c>
      <c r="D40" s="79" t="s">
        <v>11</v>
      </c>
      <c r="E40" s="81" t="s">
        <v>9</v>
      </c>
      <c r="F40" s="80"/>
      <c r="G40" s="102">
        <f>SUM(G41:G42)</f>
        <v>1002.9999999999999</v>
      </c>
      <c r="H40" s="102">
        <f>SUM(H41:H42)</f>
        <v>1002.9999999999999</v>
      </c>
      <c r="I40" s="102">
        <f t="shared" si="0"/>
        <v>100</v>
      </c>
    </row>
    <row r="41" spans="1:9" ht="47.25" customHeight="1" outlineLevel="2">
      <c r="A41" s="54" t="s">
        <v>107</v>
      </c>
      <c r="B41" s="79" t="s">
        <v>42</v>
      </c>
      <c r="C41" s="79" t="s">
        <v>43</v>
      </c>
      <c r="D41" s="79" t="s">
        <v>11</v>
      </c>
      <c r="E41" s="81" t="s">
        <v>9</v>
      </c>
      <c r="F41" s="80">
        <v>100</v>
      </c>
      <c r="G41" s="102">
        <f>581.2-2.6-250.4+371.8+52.8+23.78397</f>
        <v>776.5839699999999</v>
      </c>
      <c r="H41" s="102">
        <f>581.2-2.6-250.4+371.8+52.8+23.78397</f>
        <v>776.5839699999999</v>
      </c>
      <c r="I41" s="102">
        <f t="shared" si="0"/>
        <v>100</v>
      </c>
    </row>
    <row r="42" spans="1:9" ht="24" outlineLevel="4">
      <c r="A42" s="54" t="s">
        <v>108</v>
      </c>
      <c r="B42" s="79" t="s">
        <v>42</v>
      </c>
      <c r="C42" s="79" t="s">
        <v>43</v>
      </c>
      <c r="D42" s="79" t="s">
        <v>11</v>
      </c>
      <c r="E42" s="81" t="s">
        <v>9</v>
      </c>
      <c r="F42" s="80">
        <v>200</v>
      </c>
      <c r="G42" s="102">
        <f>102.7-10.4-64.3+275-52.8-23.78397</f>
        <v>226.41602999999998</v>
      </c>
      <c r="H42" s="102">
        <f>102.7-10.4-64.3+275-52.8-23.78397</f>
        <v>226.41602999999998</v>
      </c>
      <c r="I42" s="102">
        <f t="shared" si="0"/>
        <v>100</v>
      </c>
    </row>
    <row r="43" spans="1:9" s="17" customFormat="1" ht="33.75" customHeight="1" outlineLevel="5">
      <c r="A43" s="54" t="s">
        <v>250</v>
      </c>
      <c r="B43" s="79" t="s">
        <v>42</v>
      </c>
      <c r="C43" s="79" t="s">
        <v>43</v>
      </c>
      <c r="D43" s="79" t="s">
        <v>11</v>
      </c>
      <c r="E43" s="81" t="s">
        <v>9</v>
      </c>
      <c r="F43" s="80"/>
      <c r="G43" s="102">
        <f>SUM(G44:G45)</f>
        <v>317.5</v>
      </c>
      <c r="H43" s="102">
        <f>SUM(H44:H45)</f>
        <v>317.5</v>
      </c>
      <c r="I43" s="102">
        <f t="shared" si="0"/>
        <v>100</v>
      </c>
    </row>
    <row r="44" spans="1:9" ht="45" customHeight="1" outlineLevel="5">
      <c r="A44" s="54" t="s">
        <v>107</v>
      </c>
      <c r="B44" s="79" t="s">
        <v>42</v>
      </c>
      <c r="C44" s="79" t="s">
        <v>43</v>
      </c>
      <c r="D44" s="79" t="s">
        <v>11</v>
      </c>
      <c r="E44" s="81" t="s">
        <v>9</v>
      </c>
      <c r="F44" s="80">
        <v>100</v>
      </c>
      <c r="G44" s="105">
        <f>297-7.9-130.6+159</f>
        <v>317.5</v>
      </c>
      <c r="H44" s="105">
        <f>297-7.9-130.6+159</f>
        <v>317.5</v>
      </c>
      <c r="I44" s="102">
        <f t="shared" si="0"/>
        <v>100</v>
      </c>
    </row>
    <row r="45" spans="1:9" ht="24" hidden="1" outlineLevel="4">
      <c r="A45" s="54" t="s">
        <v>108</v>
      </c>
      <c r="B45" s="79" t="s">
        <v>42</v>
      </c>
      <c r="C45" s="79" t="s">
        <v>43</v>
      </c>
      <c r="D45" s="79" t="s">
        <v>11</v>
      </c>
      <c r="E45" s="81" t="s">
        <v>9</v>
      </c>
      <c r="F45" s="80">
        <v>200</v>
      </c>
      <c r="G45" s="105">
        <f>26.9-26.9</f>
        <v>0</v>
      </c>
      <c r="H45" s="105">
        <f>26.9-26.9</f>
        <v>0</v>
      </c>
      <c r="I45" s="102" t="e">
        <f t="shared" si="0"/>
        <v>#DIV/0!</v>
      </c>
    </row>
    <row r="46" spans="1:9" ht="42" customHeight="1" outlineLevel="5">
      <c r="A46" s="54" t="s">
        <v>259</v>
      </c>
      <c r="B46" s="79" t="s">
        <v>42</v>
      </c>
      <c r="C46" s="79" t="s">
        <v>43</v>
      </c>
      <c r="D46" s="79" t="s">
        <v>11</v>
      </c>
      <c r="E46" s="81" t="s">
        <v>9</v>
      </c>
      <c r="F46" s="80"/>
      <c r="G46" s="102">
        <f>SUM(G47:G48)</f>
        <v>439.79999999999995</v>
      </c>
      <c r="H46" s="102">
        <f>SUM(H47:H48)</f>
        <v>439.79999999999995</v>
      </c>
      <c r="I46" s="102">
        <f t="shared" si="0"/>
        <v>100</v>
      </c>
    </row>
    <row r="47" spans="1:9" ht="42" customHeight="1" outlineLevel="5">
      <c r="A47" s="54" t="s">
        <v>107</v>
      </c>
      <c r="B47" s="79" t="s">
        <v>42</v>
      </c>
      <c r="C47" s="79" t="s">
        <v>43</v>
      </c>
      <c r="D47" s="79" t="s">
        <v>11</v>
      </c>
      <c r="E47" s="81" t="s">
        <v>9</v>
      </c>
      <c r="F47" s="80">
        <v>100</v>
      </c>
      <c r="G47" s="102">
        <f>42.539-0.00007</f>
        <v>42.53893</v>
      </c>
      <c r="H47" s="102">
        <f>42.539-0.00007</f>
        <v>42.53893</v>
      </c>
      <c r="I47" s="102">
        <f t="shared" si="0"/>
        <v>100</v>
      </c>
    </row>
    <row r="48" spans="1:9" ht="24" outlineLevel="5">
      <c r="A48" s="54" t="s">
        <v>108</v>
      </c>
      <c r="B48" s="79" t="s">
        <v>42</v>
      </c>
      <c r="C48" s="79" t="s">
        <v>43</v>
      </c>
      <c r="D48" s="79" t="s">
        <v>11</v>
      </c>
      <c r="E48" s="81" t="s">
        <v>9</v>
      </c>
      <c r="F48" s="80">
        <v>200</v>
      </c>
      <c r="G48" s="102">
        <f>87+132.2+220.6-42.539+0.00007</f>
        <v>397.26106999999996</v>
      </c>
      <c r="H48" s="102">
        <f>87+132.2+220.6-42.539+0.00007</f>
        <v>397.26106999999996</v>
      </c>
      <c r="I48" s="102">
        <f t="shared" si="0"/>
        <v>100</v>
      </c>
    </row>
    <row r="49" spans="1:9" ht="36" outlineLevel="2">
      <c r="A49" s="54" t="s">
        <v>280</v>
      </c>
      <c r="B49" s="79" t="s">
        <v>42</v>
      </c>
      <c r="C49" s="79" t="s">
        <v>43</v>
      </c>
      <c r="D49" s="79" t="s">
        <v>2</v>
      </c>
      <c r="E49" s="81">
        <v>0</v>
      </c>
      <c r="F49" s="80"/>
      <c r="G49" s="102">
        <f>SUM(G50)</f>
        <v>46.28</v>
      </c>
      <c r="H49" s="102">
        <f>SUM(H50)</f>
        <v>46.28</v>
      </c>
      <c r="I49" s="102">
        <f t="shared" si="0"/>
        <v>100</v>
      </c>
    </row>
    <row r="50" spans="1:9" ht="24" outlineLevel="2">
      <c r="A50" s="54" t="s">
        <v>108</v>
      </c>
      <c r="B50" s="79" t="s">
        <v>42</v>
      </c>
      <c r="C50" s="79" t="s">
        <v>43</v>
      </c>
      <c r="D50" s="79" t="s">
        <v>2</v>
      </c>
      <c r="E50" s="81">
        <v>0</v>
      </c>
      <c r="F50" s="80">
        <v>200</v>
      </c>
      <c r="G50" s="102">
        <f>50-3.72</f>
        <v>46.28</v>
      </c>
      <c r="H50" s="102">
        <f>50-3.72</f>
        <v>46.28</v>
      </c>
      <c r="I50" s="102">
        <f t="shared" si="0"/>
        <v>100</v>
      </c>
    </row>
    <row r="51" spans="1:9" ht="12.75" hidden="1" outlineLevel="2">
      <c r="A51" s="54" t="s">
        <v>38</v>
      </c>
      <c r="B51" s="79" t="s">
        <v>42</v>
      </c>
      <c r="C51" s="79" t="s">
        <v>46</v>
      </c>
      <c r="D51" s="79"/>
      <c r="E51" s="81"/>
      <c r="F51" s="80"/>
      <c r="G51" s="102">
        <f aca="true" t="shared" si="1" ref="G51:H53">SUM(G52)</f>
        <v>0</v>
      </c>
      <c r="H51" s="102">
        <f t="shared" si="1"/>
        <v>0</v>
      </c>
      <c r="I51" s="102" t="e">
        <f t="shared" si="0"/>
        <v>#DIV/0!</v>
      </c>
    </row>
    <row r="52" spans="1:9" ht="27.75" customHeight="1" hidden="1" outlineLevel="2">
      <c r="A52" s="54" t="s">
        <v>218</v>
      </c>
      <c r="B52" s="79" t="s">
        <v>42</v>
      </c>
      <c r="C52" s="79" t="s">
        <v>46</v>
      </c>
      <c r="D52" s="79" t="s">
        <v>16</v>
      </c>
      <c r="E52" s="81">
        <v>0</v>
      </c>
      <c r="F52" s="80"/>
      <c r="G52" s="102">
        <f t="shared" si="1"/>
        <v>0</v>
      </c>
      <c r="H52" s="102">
        <f t="shared" si="1"/>
        <v>0</v>
      </c>
      <c r="I52" s="102" t="e">
        <f t="shared" si="0"/>
        <v>#DIV/0!</v>
      </c>
    </row>
    <row r="53" spans="1:9" ht="27" customHeight="1" hidden="1" outlineLevel="2">
      <c r="A53" s="54" t="s">
        <v>167</v>
      </c>
      <c r="B53" s="79" t="s">
        <v>42</v>
      </c>
      <c r="C53" s="79" t="s">
        <v>46</v>
      </c>
      <c r="D53" s="79" t="s">
        <v>16</v>
      </c>
      <c r="E53" s="81">
        <v>0</v>
      </c>
      <c r="F53" s="80"/>
      <c r="G53" s="102">
        <f t="shared" si="1"/>
        <v>0</v>
      </c>
      <c r="H53" s="102">
        <f t="shared" si="1"/>
        <v>0</v>
      </c>
      <c r="I53" s="102" t="e">
        <f t="shared" si="0"/>
        <v>#DIV/0!</v>
      </c>
    </row>
    <row r="54" spans="1:9" ht="24" hidden="1" outlineLevel="2">
      <c r="A54" s="54" t="s">
        <v>108</v>
      </c>
      <c r="B54" s="79" t="s">
        <v>42</v>
      </c>
      <c r="C54" s="79" t="s">
        <v>46</v>
      </c>
      <c r="D54" s="79" t="s">
        <v>16</v>
      </c>
      <c r="E54" s="81">
        <v>0</v>
      </c>
      <c r="F54" s="80">
        <v>200</v>
      </c>
      <c r="G54" s="102">
        <f>2.8-2.8</f>
        <v>0</v>
      </c>
      <c r="H54" s="102">
        <f>2.8-2.8</f>
        <v>0</v>
      </c>
      <c r="I54" s="102" t="e">
        <f t="shared" si="0"/>
        <v>#DIV/0!</v>
      </c>
    </row>
    <row r="55" spans="1:9" ht="17.25" customHeight="1" hidden="1" outlineLevel="2">
      <c r="A55" s="54" t="s">
        <v>39</v>
      </c>
      <c r="B55" s="79" t="s">
        <v>42</v>
      </c>
      <c r="C55" s="79" t="s">
        <v>47</v>
      </c>
      <c r="D55" s="79"/>
      <c r="E55" s="81"/>
      <c r="F55" s="80"/>
      <c r="G55" s="102">
        <f>SUM(G56)</f>
        <v>0</v>
      </c>
      <c r="H55" s="102">
        <f>SUM(H56)</f>
        <v>0</v>
      </c>
      <c r="I55" s="102" t="e">
        <f t="shared" si="0"/>
        <v>#DIV/0!</v>
      </c>
    </row>
    <row r="56" spans="1:9" ht="12.75" hidden="1" outlineLevel="5">
      <c r="A56" s="54" t="s">
        <v>40</v>
      </c>
      <c r="B56" s="79" t="s">
        <v>42</v>
      </c>
      <c r="C56" s="79" t="s">
        <v>47</v>
      </c>
      <c r="D56" s="79" t="s">
        <v>16</v>
      </c>
      <c r="E56" s="81" t="s">
        <v>9</v>
      </c>
      <c r="F56" s="80"/>
      <c r="G56" s="102">
        <f>SUM(G57)</f>
        <v>0</v>
      </c>
      <c r="H56" s="102">
        <f>SUM(H57)</f>
        <v>0</v>
      </c>
      <c r="I56" s="102" t="e">
        <f t="shared" si="0"/>
        <v>#DIV/0!</v>
      </c>
    </row>
    <row r="57" spans="1:9" ht="39" customHeight="1" hidden="1" outlineLevel="2">
      <c r="A57" s="54" t="s">
        <v>167</v>
      </c>
      <c r="B57" s="79" t="s">
        <v>42</v>
      </c>
      <c r="C57" s="79" t="s">
        <v>47</v>
      </c>
      <c r="D57" s="79" t="s">
        <v>16</v>
      </c>
      <c r="E57" s="81" t="s">
        <v>9</v>
      </c>
      <c r="F57" s="80"/>
      <c r="G57" s="102">
        <f aca="true" t="shared" si="2" ref="G57:H60">SUM(G58)</f>
        <v>0</v>
      </c>
      <c r="H57" s="102">
        <f t="shared" si="2"/>
        <v>0</v>
      </c>
      <c r="I57" s="102" t="e">
        <f t="shared" si="0"/>
        <v>#DIV/0!</v>
      </c>
    </row>
    <row r="58" spans="1:9" ht="24" hidden="1" outlineLevel="5">
      <c r="A58" s="54" t="s">
        <v>108</v>
      </c>
      <c r="B58" s="79" t="s">
        <v>42</v>
      </c>
      <c r="C58" s="79" t="s">
        <v>47</v>
      </c>
      <c r="D58" s="79" t="s">
        <v>16</v>
      </c>
      <c r="E58" s="81">
        <v>0</v>
      </c>
      <c r="F58" s="80">
        <v>200</v>
      </c>
      <c r="G58" s="102">
        <v>0</v>
      </c>
      <c r="H58" s="102">
        <v>0</v>
      </c>
      <c r="I58" s="102" t="e">
        <f t="shared" si="0"/>
        <v>#DIV/0!</v>
      </c>
    </row>
    <row r="59" spans="1:9" ht="12.75" outlineLevel="1">
      <c r="A59" s="54" t="s">
        <v>41</v>
      </c>
      <c r="B59" s="79" t="s">
        <v>42</v>
      </c>
      <c r="C59" s="79" t="s">
        <v>48</v>
      </c>
      <c r="D59" s="79"/>
      <c r="E59" s="81"/>
      <c r="F59" s="80"/>
      <c r="G59" s="102">
        <f t="shared" si="2"/>
        <v>0</v>
      </c>
      <c r="H59" s="102">
        <f t="shared" si="2"/>
        <v>0</v>
      </c>
      <c r="I59" s="102">
        <v>0</v>
      </c>
    </row>
    <row r="60" spans="1:9" ht="29.25" customHeight="1" outlineLevel="2">
      <c r="A60" s="54" t="s">
        <v>167</v>
      </c>
      <c r="B60" s="79" t="s">
        <v>42</v>
      </c>
      <c r="C60" s="79" t="s">
        <v>48</v>
      </c>
      <c r="D60" s="79" t="s">
        <v>16</v>
      </c>
      <c r="E60" s="81" t="s">
        <v>9</v>
      </c>
      <c r="F60" s="80"/>
      <c r="G60" s="102">
        <f t="shared" si="2"/>
        <v>0</v>
      </c>
      <c r="H60" s="102">
        <f t="shared" si="2"/>
        <v>0</v>
      </c>
      <c r="I60" s="102">
        <v>0</v>
      </c>
    </row>
    <row r="61" spans="1:9" ht="12.75" outlineLevel="2">
      <c r="A61" s="54" t="s">
        <v>155</v>
      </c>
      <c r="B61" s="79" t="s">
        <v>42</v>
      </c>
      <c r="C61" s="79" t="s">
        <v>48</v>
      </c>
      <c r="D61" s="79" t="s">
        <v>16</v>
      </c>
      <c r="E61" s="81" t="s">
        <v>9</v>
      </c>
      <c r="F61" s="80">
        <v>800</v>
      </c>
      <c r="G61" s="102">
        <f>320-320</f>
        <v>0</v>
      </c>
      <c r="H61" s="102">
        <f>320-320</f>
        <v>0</v>
      </c>
      <c r="I61" s="102">
        <v>0</v>
      </c>
    </row>
    <row r="62" spans="1:9" ht="12.75" outlineLevel="2">
      <c r="A62" s="54" t="s">
        <v>49</v>
      </c>
      <c r="B62" s="79" t="s">
        <v>42</v>
      </c>
      <c r="C62" s="79" t="s">
        <v>31</v>
      </c>
      <c r="D62" s="79"/>
      <c r="E62" s="81"/>
      <c r="F62" s="80"/>
      <c r="G62" s="102">
        <f>SUM(G63+G70+G79+G81+G85+G88+G92+G77+G68+G75)</f>
        <v>49419.57798999999</v>
      </c>
      <c r="H62" s="102">
        <f>SUM(H63+H70+H79+H81+H85+H88+H92+H77+H68+H75)</f>
        <v>49196.9266</v>
      </c>
      <c r="I62" s="102">
        <f t="shared" si="0"/>
        <v>99.54946723736685</v>
      </c>
    </row>
    <row r="63" spans="1:9" ht="36" customHeight="1" outlineLevel="2">
      <c r="A63" s="54" t="s">
        <v>295</v>
      </c>
      <c r="B63" s="79" t="s">
        <v>42</v>
      </c>
      <c r="C63" s="79" t="s">
        <v>31</v>
      </c>
      <c r="D63" s="79" t="s">
        <v>6</v>
      </c>
      <c r="E63" s="81">
        <v>0</v>
      </c>
      <c r="F63" s="80"/>
      <c r="G63" s="102">
        <f>SUM(G66+G64)</f>
        <v>2478.8364599999995</v>
      </c>
      <c r="H63" s="102">
        <f>SUM(H66+H64)</f>
        <v>2478.8364599999995</v>
      </c>
      <c r="I63" s="102">
        <f t="shared" si="0"/>
        <v>100</v>
      </c>
    </row>
    <row r="64" spans="1:9" ht="24" outlineLevel="2">
      <c r="A64" s="54" t="s">
        <v>222</v>
      </c>
      <c r="B64" s="79" t="s">
        <v>42</v>
      </c>
      <c r="C64" s="79" t="s">
        <v>31</v>
      </c>
      <c r="D64" s="79" t="s">
        <v>6</v>
      </c>
      <c r="E64" s="81">
        <v>3</v>
      </c>
      <c r="F64" s="80"/>
      <c r="G64" s="102">
        <f>SUM(G65:G65)</f>
        <v>2319.8754599999997</v>
      </c>
      <c r="H64" s="102">
        <f>SUM(H65:H65)</f>
        <v>2319.8754599999997</v>
      </c>
      <c r="I64" s="102">
        <f t="shared" si="0"/>
        <v>100</v>
      </c>
    </row>
    <row r="65" spans="1:9" ht="24" outlineLevel="2">
      <c r="A65" s="54" t="s">
        <v>168</v>
      </c>
      <c r="B65" s="79" t="s">
        <v>42</v>
      </c>
      <c r="C65" s="79" t="s">
        <v>31</v>
      </c>
      <c r="D65" s="79" t="s">
        <v>6</v>
      </c>
      <c r="E65" s="81">
        <v>3</v>
      </c>
      <c r="F65" s="80">
        <v>600</v>
      </c>
      <c r="G65" s="102">
        <f>1419.8075+169.53+250+28.2+220.43+297.02+1178+370-1596.464-16.64804</f>
        <v>2319.8754599999997</v>
      </c>
      <c r="H65" s="102">
        <f>1419.8075+169.53+250+28.2+220.43+297.02+1178+370-1596.464-16.64804</f>
        <v>2319.8754599999997</v>
      </c>
      <c r="I65" s="102">
        <f t="shared" si="0"/>
        <v>100</v>
      </c>
    </row>
    <row r="66" spans="1:9" ht="24" outlineLevel="2">
      <c r="A66" s="54" t="s">
        <v>203</v>
      </c>
      <c r="B66" s="79" t="s">
        <v>42</v>
      </c>
      <c r="C66" s="79" t="s">
        <v>31</v>
      </c>
      <c r="D66" s="79" t="s">
        <v>6</v>
      </c>
      <c r="E66" s="81">
        <v>4</v>
      </c>
      <c r="F66" s="80"/>
      <c r="G66" s="102">
        <f>SUM(G67)</f>
        <v>158.961</v>
      </c>
      <c r="H66" s="102">
        <f>SUM(H67)</f>
        <v>158.961</v>
      </c>
      <c r="I66" s="102">
        <f t="shared" si="0"/>
        <v>100</v>
      </c>
    </row>
    <row r="67" spans="1:9" ht="24" customHeight="1" outlineLevel="2">
      <c r="A67" s="54" t="s">
        <v>168</v>
      </c>
      <c r="B67" s="79" t="s">
        <v>42</v>
      </c>
      <c r="C67" s="79" t="s">
        <v>31</v>
      </c>
      <c r="D67" s="79" t="s">
        <v>6</v>
      </c>
      <c r="E67" s="81">
        <v>4</v>
      </c>
      <c r="F67" s="80">
        <v>600</v>
      </c>
      <c r="G67" s="102">
        <f>170-11.039</f>
        <v>158.961</v>
      </c>
      <c r="H67" s="102">
        <f>170-11.039</f>
        <v>158.961</v>
      </c>
      <c r="I67" s="102">
        <f t="shared" si="0"/>
        <v>100</v>
      </c>
    </row>
    <row r="68" spans="1:9" ht="12.75" outlineLevel="2">
      <c r="A68" s="54" t="s">
        <v>277</v>
      </c>
      <c r="B68" s="79" t="s">
        <v>42</v>
      </c>
      <c r="C68" s="79" t="s">
        <v>31</v>
      </c>
      <c r="D68" s="79" t="s">
        <v>10</v>
      </c>
      <c r="E68" s="81">
        <v>0</v>
      </c>
      <c r="F68" s="80"/>
      <c r="G68" s="102">
        <f>SUM(G69)</f>
        <v>100</v>
      </c>
      <c r="H68" s="102">
        <f>SUM(H69)</f>
        <v>100</v>
      </c>
      <c r="I68" s="102">
        <f t="shared" si="0"/>
        <v>100</v>
      </c>
    </row>
    <row r="69" spans="1:9" ht="24" outlineLevel="2">
      <c r="A69" s="54" t="s">
        <v>108</v>
      </c>
      <c r="B69" s="79" t="s">
        <v>42</v>
      </c>
      <c r="C69" s="79" t="s">
        <v>31</v>
      </c>
      <c r="D69" s="79" t="s">
        <v>10</v>
      </c>
      <c r="E69" s="81">
        <v>0</v>
      </c>
      <c r="F69" s="80">
        <v>200</v>
      </c>
      <c r="G69" s="102">
        <f>100</f>
        <v>100</v>
      </c>
      <c r="H69" s="102">
        <f>100</f>
        <v>100</v>
      </c>
      <c r="I69" s="102">
        <f t="shared" si="0"/>
        <v>100</v>
      </c>
    </row>
    <row r="70" spans="1:9" ht="37.5" customHeight="1" outlineLevel="2">
      <c r="A70" s="54" t="s">
        <v>281</v>
      </c>
      <c r="B70" s="79" t="s">
        <v>42</v>
      </c>
      <c r="C70" s="79" t="s">
        <v>31</v>
      </c>
      <c r="D70" s="79" t="s">
        <v>162</v>
      </c>
      <c r="E70" s="81">
        <v>0</v>
      </c>
      <c r="F70" s="80"/>
      <c r="G70" s="102">
        <f>SUM(G71+G73)</f>
        <v>39.5</v>
      </c>
      <c r="H70" s="102">
        <f>SUM(H71+H73)</f>
        <v>39.5</v>
      </c>
      <c r="I70" s="102">
        <f t="shared" si="0"/>
        <v>100</v>
      </c>
    </row>
    <row r="71" spans="1:9" ht="20.25" customHeight="1" outlineLevel="2">
      <c r="A71" s="54" t="s">
        <v>302</v>
      </c>
      <c r="B71" s="79" t="s">
        <v>42</v>
      </c>
      <c r="C71" s="79" t="s">
        <v>31</v>
      </c>
      <c r="D71" s="79" t="s">
        <v>162</v>
      </c>
      <c r="E71" s="81">
        <v>1</v>
      </c>
      <c r="F71" s="80"/>
      <c r="G71" s="102">
        <f>SUM(G72)</f>
        <v>39.5</v>
      </c>
      <c r="H71" s="102">
        <f>SUM(H72)</f>
        <v>39.5</v>
      </c>
      <c r="I71" s="102">
        <f t="shared" si="0"/>
        <v>100</v>
      </c>
    </row>
    <row r="72" spans="1:9" ht="24" outlineLevel="2">
      <c r="A72" s="54" t="s">
        <v>108</v>
      </c>
      <c r="B72" s="79" t="s">
        <v>42</v>
      </c>
      <c r="C72" s="79" t="s">
        <v>31</v>
      </c>
      <c r="D72" s="79" t="s">
        <v>162</v>
      </c>
      <c r="E72" s="81">
        <v>1</v>
      </c>
      <c r="F72" s="80">
        <v>200</v>
      </c>
      <c r="G72" s="102">
        <f>50-15+4.5</f>
        <v>39.5</v>
      </c>
      <c r="H72" s="102">
        <f>50-15+4.5</f>
        <v>39.5</v>
      </c>
      <c r="I72" s="102">
        <f t="shared" si="0"/>
        <v>100</v>
      </c>
    </row>
    <row r="73" spans="1:9" ht="24" hidden="1" outlineLevel="2">
      <c r="A73" s="54" t="s">
        <v>303</v>
      </c>
      <c r="B73" s="79" t="s">
        <v>42</v>
      </c>
      <c r="C73" s="79" t="s">
        <v>31</v>
      </c>
      <c r="D73" s="79" t="s">
        <v>162</v>
      </c>
      <c r="E73" s="81">
        <v>2</v>
      </c>
      <c r="F73" s="80"/>
      <c r="G73" s="102">
        <f>SUM(G74)</f>
        <v>0</v>
      </c>
      <c r="H73" s="102">
        <f>SUM(H74)</f>
        <v>0</v>
      </c>
      <c r="I73" s="102">
        <v>0</v>
      </c>
    </row>
    <row r="74" spans="1:9" ht="24" hidden="1" outlineLevel="2">
      <c r="A74" s="54" t="s">
        <v>108</v>
      </c>
      <c r="B74" s="79" t="s">
        <v>42</v>
      </c>
      <c r="C74" s="79" t="s">
        <v>31</v>
      </c>
      <c r="D74" s="79" t="s">
        <v>162</v>
      </c>
      <c r="E74" s="81">
        <v>2</v>
      </c>
      <c r="F74" s="80">
        <v>200</v>
      </c>
      <c r="G74" s="102">
        <f>15-15</f>
        <v>0</v>
      </c>
      <c r="H74" s="102">
        <f>15-15</f>
        <v>0</v>
      </c>
      <c r="I74" s="102">
        <v>0</v>
      </c>
    </row>
    <row r="75" spans="1:9" ht="24" outlineLevel="2">
      <c r="A75" s="78" t="s">
        <v>244</v>
      </c>
      <c r="B75" s="79" t="s">
        <v>42</v>
      </c>
      <c r="C75" s="79" t="s">
        <v>31</v>
      </c>
      <c r="D75" s="79" t="s">
        <v>243</v>
      </c>
      <c r="E75" s="81">
        <v>0</v>
      </c>
      <c r="F75" s="80"/>
      <c r="G75" s="102">
        <f>SUM(G76)</f>
        <v>8</v>
      </c>
      <c r="H75" s="102">
        <f>SUM(H76)</f>
        <v>8</v>
      </c>
      <c r="I75" s="102">
        <f aca="true" t="shared" si="3" ref="I75:I137">SUM(H75/G75)*100</f>
        <v>100</v>
      </c>
    </row>
    <row r="76" spans="1:9" ht="24" outlineLevel="2">
      <c r="A76" s="78" t="s">
        <v>108</v>
      </c>
      <c r="B76" s="79" t="s">
        <v>42</v>
      </c>
      <c r="C76" s="79" t="s">
        <v>31</v>
      </c>
      <c r="D76" s="79" t="s">
        <v>243</v>
      </c>
      <c r="E76" s="81">
        <v>0</v>
      </c>
      <c r="F76" s="80">
        <v>200</v>
      </c>
      <c r="G76" s="102">
        <f>9-1</f>
        <v>8</v>
      </c>
      <c r="H76" s="102">
        <f>9-1</f>
        <v>8</v>
      </c>
      <c r="I76" s="102">
        <f t="shared" si="3"/>
        <v>100</v>
      </c>
    </row>
    <row r="77" spans="1:9" ht="35.25" customHeight="1" outlineLevel="2">
      <c r="A77" s="54" t="s">
        <v>283</v>
      </c>
      <c r="B77" s="79" t="s">
        <v>42</v>
      </c>
      <c r="C77" s="79" t="s">
        <v>31</v>
      </c>
      <c r="D77" s="79" t="s">
        <v>200</v>
      </c>
      <c r="E77" s="81">
        <v>0</v>
      </c>
      <c r="F77" s="80"/>
      <c r="G77" s="102">
        <f>SUM(G78)</f>
        <v>20</v>
      </c>
      <c r="H77" s="102">
        <f>SUM(H78)</f>
        <v>20</v>
      </c>
      <c r="I77" s="102">
        <f t="shared" si="3"/>
        <v>100</v>
      </c>
    </row>
    <row r="78" spans="1:9" ht="24" outlineLevel="2">
      <c r="A78" s="54" t="s">
        <v>108</v>
      </c>
      <c r="B78" s="79" t="s">
        <v>42</v>
      </c>
      <c r="C78" s="79" t="s">
        <v>31</v>
      </c>
      <c r="D78" s="79" t="s">
        <v>200</v>
      </c>
      <c r="E78" s="81">
        <v>0</v>
      </c>
      <c r="F78" s="80">
        <v>200</v>
      </c>
      <c r="G78" s="102">
        <f>50-30</f>
        <v>20</v>
      </c>
      <c r="H78" s="102">
        <f>50-30</f>
        <v>20</v>
      </c>
      <c r="I78" s="102">
        <f t="shared" si="3"/>
        <v>100</v>
      </c>
    </row>
    <row r="79" spans="1:9" ht="51" customHeight="1" outlineLevel="2">
      <c r="A79" s="54" t="s">
        <v>289</v>
      </c>
      <c r="B79" s="79" t="s">
        <v>42</v>
      </c>
      <c r="C79" s="79" t="s">
        <v>31</v>
      </c>
      <c r="D79" s="79" t="s">
        <v>14</v>
      </c>
      <c r="E79" s="81">
        <v>0</v>
      </c>
      <c r="F79" s="80"/>
      <c r="G79" s="102">
        <f>SUM(G80)</f>
        <v>42272.393359999995</v>
      </c>
      <c r="H79" s="102">
        <f>SUM(H80)</f>
        <v>42049.74197</v>
      </c>
      <c r="I79" s="102">
        <f t="shared" si="3"/>
        <v>99.47329362663748</v>
      </c>
    </row>
    <row r="80" spans="1:9" ht="23.25" customHeight="1" outlineLevel="2">
      <c r="A80" s="54" t="s">
        <v>168</v>
      </c>
      <c r="B80" s="79" t="s">
        <v>42</v>
      </c>
      <c r="C80" s="79" t="s">
        <v>31</v>
      </c>
      <c r="D80" s="79" t="s">
        <v>14</v>
      </c>
      <c r="E80" s="81">
        <v>0</v>
      </c>
      <c r="F80" s="80">
        <v>600</v>
      </c>
      <c r="G80" s="102">
        <f>22675-2675+10000+1257.9+2049.593+2714.6-9-499.234-200+2000+459.62374+596.33826+1596.464+11.36934+0.00047+16.64804+11.039+19.49494+3.72+78.41873+0.03701+10.5+1728.34825+15.04899+188.8322+222.65139</f>
        <v>42272.393359999995</v>
      </c>
      <c r="H80" s="102">
        <v>42049.74197</v>
      </c>
      <c r="I80" s="102">
        <f t="shared" si="3"/>
        <v>99.47329362663748</v>
      </c>
    </row>
    <row r="81" spans="1:9" ht="12.75" outlineLevel="2">
      <c r="A81" s="54" t="s">
        <v>258</v>
      </c>
      <c r="B81" s="79" t="s">
        <v>42</v>
      </c>
      <c r="C81" s="79" t="s">
        <v>31</v>
      </c>
      <c r="D81" s="79"/>
      <c r="E81" s="81"/>
      <c r="F81" s="80"/>
      <c r="G81" s="102">
        <f>SUM(G82)</f>
        <v>1813.1</v>
      </c>
      <c r="H81" s="102">
        <f>SUM(H82)</f>
        <v>1813.1</v>
      </c>
      <c r="I81" s="102">
        <f t="shared" si="3"/>
        <v>100</v>
      </c>
    </row>
    <row r="82" spans="1:9" ht="26.25" customHeight="1" outlineLevel="2">
      <c r="A82" s="54" t="s">
        <v>109</v>
      </c>
      <c r="B82" s="79" t="s">
        <v>42</v>
      </c>
      <c r="C82" s="79" t="s">
        <v>31</v>
      </c>
      <c r="D82" s="79" t="s">
        <v>11</v>
      </c>
      <c r="E82" s="81">
        <v>0</v>
      </c>
      <c r="F82" s="80"/>
      <c r="G82" s="102">
        <f>SUM(G83:G84)</f>
        <v>1813.1</v>
      </c>
      <c r="H82" s="102">
        <f>SUM(H83:H84)</f>
        <v>1813.1</v>
      </c>
      <c r="I82" s="102">
        <f t="shared" si="3"/>
        <v>100</v>
      </c>
    </row>
    <row r="83" spans="1:9" ht="50.25" customHeight="1" outlineLevel="2">
      <c r="A83" s="54" t="s">
        <v>107</v>
      </c>
      <c r="B83" s="79" t="s">
        <v>42</v>
      </c>
      <c r="C83" s="79" t="s">
        <v>31</v>
      </c>
      <c r="D83" s="79" t="s">
        <v>11</v>
      </c>
      <c r="E83" s="81" t="s">
        <v>9</v>
      </c>
      <c r="F83" s="80">
        <v>100</v>
      </c>
      <c r="G83" s="102">
        <f>841.7+100+42.8+4.98541</f>
        <v>989.48541</v>
      </c>
      <c r="H83" s="102">
        <f>841.7+100+42.8+4.98541</f>
        <v>989.48541</v>
      </c>
      <c r="I83" s="102">
        <f t="shared" si="3"/>
        <v>100</v>
      </c>
    </row>
    <row r="84" spans="1:9" ht="24" outlineLevel="2">
      <c r="A84" s="54" t="s">
        <v>108</v>
      </c>
      <c r="B84" s="79" t="s">
        <v>42</v>
      </c>
      <c r="C84" s="79" t="s">
        <v>31</v>
      </c>
      <c r="D84" s="79" t="s">
        <v>11</v>
      </c>
      <c r="E84" s="81" t="s">
        <v>9</v>
      </c>
      <c r="F84" s="80">
        <v>200</v>
      </c>
      <c r="G84" s="102">
        <f>219.7+156.3+442.7+20-10.1-4.98541</f>
        <v>823.61459</v>
      </c>
      <c r="H84" s="102">
        <f>219.7+156.3+442.7+20-10.1-4.98541</f>
        <v>823.61459</v>
      </c>
      <c r="I84" s="102">
        <f t="shared" si="3"/>
        <v>100</v>
      </c>
    </row>
    <row r="85" spans="1:9" ht="27.75" customHeight="1" outlineLevel="2">
      <c r="A85" s="54" t="s">
        <v>252</v>
      </c>
      <c r="B85" s="79" t="s">
        <v>42</v>
      </c>
      <c r="C85" s="79" t="s">
        <v>31</v>
      </c>
      <c r="D85" s="79" t="s">
        <v>16</v>
      </c>
      <c r="E85" s="81">
        <v>0</v>
      </c>
      <c r="F85" s="80"/>
      <c r="G85" s="102">
        <f>SUM(G86)</f>
        <v>282.1</v>
      </c>
      <c r="H85" s="102">
        <f>SUM(H86)</f>
        <v>282.1</v>
      </c>
      <c r="I85" s="102">
        <f t="shared" si="3"/>
        <v>100</v>
      </c>
    </row>
    <row r="86" spans="1:9" ht="25.5" customHeight="1" outlineLevel="2">
      <c r="A86" s="54" t="s">
        <v>167</v>
      </c>
      <c r="B86" s="79" t="s">
        <v>42</v>
      </c>
      <c r="C86" s="79" t="s">
        <v>31</v>
      </c>
      <c r="D86" s="79" t="s">
        <v>16</v>
      </c>
      <c r="E86" s="81" t="s">
        <v>9</v>
      </c>
      <c r="F86" s="80"/>
      <c r="G86" s="102">
        <f>SUM(G87)</f>
        <v>282.1</v>
      </c>
      <c r="H86" s="102">
        <f>SUM(H87)</f>
        <v>282.1</v>
      </c>
      <c r="I86" s="102">
        <f t="shared" si="3"/>
        <v>100</v>
      </c>
    </row>
    <row r="87" spans="1:9" ht="24" outlineLevel="5">
      <c r="A87" s="54" t="s">
        <v>108</v>
      </c>
      <c r="B87" s="79" t="s">
        <v>42</v>
      </c>
      <c r="C87" s="79" t="s">
        <v>31</v>
      </c>
      <c r="D87" s="79" t="s">
        <v>16</v>
      </c>
      <c r="E87" s="81" t="s">
        <v>9</v>
      </c>
      <c r="F87" s="80">
        <v>200</v>
      </c>
      <c r="G87" s="102">
        <f>100+200-288.14164+288.14164-17.9</f>
        <v>282.1</v>
      </c>
      <c r="H87" s="102">
        <f>100+200-288.14164+288.14164-17.9</f>
        <v>282.1</v>
      </c>
      <c r="I87" s="102">
        <f t="shared" si="3"/>
        <v>100</v>
      </c>
    </row>
    <row r="88" spans="1:9" ht="24" outlineLevel="5">
      <c r="A88" s="54" t="s">
        <v>251</v>
      </c>
      <c r="B88" s="79" t="s">
        <v>42</v>
      </c>
      <c r="C88" s="79" t="s">
        <v>31</v>
      </c>
      <c r="D88" s="79" t="s">
        <v>16</v>
      </c>
      <c r="E88" s="81">
        <v>0</v>
      </c>
      <c r="F88" s="80"/>
      <c r="G88" s="102">
        <f>SUM(G89)</f>
        <v>2405.64817</v>
      </c>
      <c r="H88" s="102">
        <f>SUM(H89)</f>
        <v>2405.64817</v>
      </c>
      <c r="I88" s="102">
        <f t="shared" si="3"/>
        <v>100</v>
      </c>
    </row>
    <row r="89" spans="1:9" ht="24.75" customHeight="1" outlineLevel="5">
      <c r="A89" s="54" t="s">
        <v>167</v>
      </c>
      <c r="B89" s="79" t="s">
        <v>42</v>
      </c>
      <c r="C89" s="79" t="s">
        <v>31</v>
      </c>
      <c r="D89" s="79" t="s">
        <v>16</v>
      </c>
      <c r="E89" s="81" t="s">
        <v>9</v>
      </c>
      <c r="F89" s="80"/>
      <c r="G89" s="102">
        <f>SUM(G90:G91)</f>
        <v>2405.64817</v>
      </c>
      <c r="H89" s="102">
        <f>SUM(H90:H91)</f>
        <v>2405.64817</v>
      </c>
      <c r="I89" s="102">
        <f t="shared" si="3"/>
        <v>100</v>
      </c>
    </row>
    <row r="90" spans="1:9" ht="24" outlineLevel="5">
      <c r="A90" s="54" t="s">
        <v>108</v>
      </c>
      <c r="B90" s="79" t="s">
        <v>42</v>
      </c>
      <c r="C90" s="79" t="s">
        <v>31</v>
      </c>
      <c r="D90" s="79" t="s">
        <v>16</v>
      </c>
      <c r="E90" s="81">
        <v>0</v>
      </c>
      <c r="F90" s="80">
        <v>200</v>
      </c>
      <c r="G90" s="102">
        <f>1295+0.01-288-0.01-530+1854.7-1800+308.7-340+288.14164+500-30+30-137.54297-55.23432-2-4.64328-31.25019</f>
        <v>1057.87088</v>
      </c>
      <c r="H90" s="102">
        <f>1295+0.01-288-0.01-530+1854.7-1800+308.7-340+288.14164+500-30+30-137.54297-55.23432-2-4.64328-31.25019</f>
        <v>1057.87088</v>
      </c>
      <c r="I90" s="102">
        <f t="shared" si="3"/>
        <v>100</v>
      </c>
    </row>
    <row r="91" spans="1:9" ht="12" customHeight="1" outlineLevel="5">
      <c r="A91" s="54" t="s">
        <v>155</v>
      </c>
      <c r="B91" s="79" t="s">
        <v>42</v>
      </c>
      <c r="C91" s="79" t="s">
        <v>31</v>
      </c>
      <c r="D91" s="79" t="s">
        <v>16</v>
      </c>
      <c r="E91" s="81">
        <v>0</v>
      </c>
      <c r="F91" s="80">
        <v>800</v>
      </c>
      <c r="G91" s="102">
        <f>155+1000+137.54297+55.23432</f>
        <v>1347.77729</v>
      </c>
      <c r="H91" s="102">
        <f>155+1000+137.54297+55.23432</f>
        <v>1347.77729</v>
      </c>
      <c r="I91" s="102">
        <f t="shared" si="3"/>
        <v>100</v>
      </c>
    </row>
    <row r="92" spans="1:9" ht="2.25" customHeight="1" hidden="1" outlineLevel="5">
      <c r="A92" s="54" t="s">
        <v>50</v>
      </c>
      <c r="B92" s="79" t="s">
        <v>42</v>
      </c>
      <c r="C92" s="79" t="s">
        <v>31</v>
      </c>
      <c r="D92" s="79" t="s">
        <v>16</v>
      </c>
      <c r="E92" s="81">
        <v>0</v>
      </c>
      <c r="F92" s="80"/>
      <c r="G92" s="102">
        <f>2935.1-2935.1</f>
        <v>0</v>
      </c>
      <c r="H92" s="102">
        <f>2935.1-2935.1</f>
        <v>0</v>
      </c>
      <c r="I92" s="102">
        <v>0</v>
      </c>
    </row>
    <row r="93" spans="1:9" ht="12" customHeight="1" outlineLevel="1" collapsed="1">
      <c r="A93" s="54" t="s">
        <v>51</v>
      </c>
      <c r="B93" s="79" t="s">
        <v>42</v>
      </c>
      <c r="C93" s="79" t="s">
        <v>119</v>
      </c>
      <c r="D93" s="79"/>
      <c r="E93" s="81"/>
      <c r="F93" s="80"/>
      <c r="G93" s="102">
        <f aca="true" t="shared" si="4" ref="G93:H96">SUM(G94)</f>
        <v>0</v>
      </c>
      <c r="H93" s="102">
        <f t="shared" si="4"/>
        <v>0</v>
      </c>
      <c r="I93" s="102">
        <v>0</v>
      </c>
    </row>
    <row r="94" spans="1:9" ht="2.25" customHeight="1" hidden="1" outlineLevel="2" collapsed="1">
      <c r="A94" s="54" t="s">
        <v>52</v>
      </c>
      <c r="B94" s="79" t="s">
        <v>42</v>
      </c>
      <c r="C94" s="79" t="s">
        <v>53</v>
      </c>
      <c r="D94" s="79"/>
      <c r="E94" s="81"/>
      <c r="F94" s="80"/>
      <c r="G94" s="102">
        <f t="shared" si="4"/>
        <v>0</v>
      </c>
      <c r="H94" s="102">
        <f t="shared" si="4"/>
        <v>0</v>
      </c>
      <c r="I94" s="102">
        <v>0</v>
      </c>
    </row>
    <row r="95" spans="1:9" ht="12.75" hidden="1" outlineLevel="5">
      <c r="A95" s="54" t="s">
        <v>17</v>
      </c>
      <c r="B95" s="79" t="s">
        <v>42</v>
      </c>
      <c r="C95" s="79" t="s">
        <v>53</v>
      </c>
      <c r="D95" s="79"/>
      <c r="E95" s="81"/>
      <c r="F95" s="80"/>
      <c r="G95" s="102">
        <f t="shared" si="4"/>
        <v>0</v>
      </c>
      <c r="H95" s="102">
        <f t="shared" si="4"/>
        <v>0</v>
      </c>
      <c r="I95" s="102">
        <v>0</v>
      </c>
    </row>
    <row r="96" spans="1:9" ht="27" customHeight="1" hidden="1" outlineLevel="5">
      <c r="A96" s="54" t="s">
        <v>167</v>
      </c>
      <c r="B96" s="79" t="s">
        <v>42</v>
      </c>
      <c r="C96" s="79" t="s">
        <v>53</v>
      </c>
      <c r="D96" s="79" t="s">
        <v>16</v>
      </c>
      <c r="E96" s="81">
        <v>0</v>
      </c>
      <c r="F96" s="80"/>
      <c r="G96" s="102">
        <f t="shared" si="4"/>
        <v>0</v>
      </c>
      <c r="H96" s="102">
        <f t="shared" si="4"/>
        <v>0</v>
      </c>
      <c r="I96" s="102">
        <v>0</v>
      </c>
    </row>
    <row r="97" spans="1:9" ht="24" hidden="1" outlineLevel="5">
      <c r="A97" s="54" t="s">
        <v>108</v>
      </c>
      <c r="B97" s="79" t="s">
        <v>42</v>
      </c>
      <c r="C97" s="79" t="s">
        <v>53</v>
      </c>
      <c r="D97" s="79" t="s">
        <v>16</v>
      </c>
      <c r="E97" s="81">
        <v>0</v>
      </c>
      <c r="F97" s="80">
        <v>200</v>
      </c>
      <c r="G97" s="102">
        <f>20-20</f>
        <v>0</v>
      </c>
      <c r="H97" s="102">
        <f>20-20</f>
        <v>0</v>
      </c>
      <c r="I97" s="102">
        <v>0</v>
      </c>
    </row>
    <row r="98" spans="1:9" ht="12.75" outlineLevel="5">
      <c r="A98" s="54" t="s">
        <v>124</v>
      </c>
      <c r="B98" s="79" t="s">
        <v>42</v>
      </c>
      <c r="C98" s="79" t="s">
        <v>120</v>
      </c>
      <c r="D98" s="79"/>
      <c r="E98" s="81"/>
      <c r="F98" s="80"/>
      <c r="G98" s="102">
        <f>SUM(G99+G102)</f>
        <v>61.08</v>
      </c>
      <c r="H98" s="102">
        <f>SUM(H99+H102)</f>
        <v>61.08</v>
      </c>
      <c r="I98" s="102">
        <f t="shared" si="3"/>
        <v>100</v>
      </c>
    </row>
    <row r="99" spans="1:9" ht="29.25" customHeight="1" outlineLevel="1">
      <c r="A99" s="54" t="s">
        <v>125</v>
      </c>
      <c r="B99" s="79" t="s">
        <v>42</v>
      </c>
      <c r="C99" s="79" t="s">
        <v>54</v>
      </c>
      <c r="D99" s="79"/>
      <c r="E99" s="81"/>
      <c r="F99" s="80"/>
      <c r="G99" s="102">
        <f>SUM(G100)</f>
        <v>61.08</v>
      </c>
      <c r="H99" s="102">
        <f>SUM(H100)</f>
        <v>61.08</v>
      </c>
      <c r="I99" s="102">
        <f t="shared" si="3"/>
        <v>100</v>
      </c>
    </row>
    <row r="100" spans="1:9" ht="24.75" customHeight="1" outlineLevel="2">
      <c r="A100" s="54" t="s">
        <v>167</v>
      </c>
      <c r="B100" s="79" t="s">
        <v>42</v>
      </c>
      <c r="C100" s="79" t="s">
        <v>54</v>
      </c>
      <c r="D100" s="79" t="s">
        <v>16</v>
      </c>
      <c r="E100" s="81">
        <v>0</v>
      </c>
      <c r="F100" s="80"/>
      <c r="G100" s="102">
        <f>SUM(G101)</f>
        <v>61.08</v>
      </c>
      <c r="H100" s="102">
        <f>SUM(H101)</f>
        <v>61.08</v>
      </c>
      <c r="I100" s="102">
        <f t="shared" si="3"/>
        <v>100</v>
      </c>
    </row>
    <row r="101" spans="1:9" ht="24" outlineLevel="3">
      <c r="A101" s="54" t="s">
        <v>108</v>
      </c>
      <c r="B101" s="79" t="s">
        <v>42</v>
      </c>
      <c r="C101" s="79" t="s">
        <v>54</v>
      </c>
      <c r="D101" s="79" t="s">
        <v>16</v>
      </c>
      <c r="E101" s="81">
        <v>0</v>
      </c>
      <c r="F101" s="80">
        <v>200</v>
      </c>
      <c r="G101" s="102">
        <f>50-1.7183-0.74085+13.53915</f>
        <v>61.08</v>
      </c>
      <c r="H101" s="102">
        <f>50-1.7183-0.74085+13.53915</f>
        <v>61.08</v>
      </c>
      <c r="I101" s="102">
        <f t="shared" si="3"/>
        <v>100</v>
      </c>
    </row>
    <row r="102" spans="1:9" ht="25.5" customHeight="1" outlineLevel="3">
      <c r="A102" s="54" t="s">
        <v>126</v>
      </c>
      <c r="B102" s="79" t="s">
        <v>42</v>
      </c>
      <c r="C102" s="79" t="s">
        <v>54</v>
      </c>
      <c r="D102" s="79"/>
      <c r="E102" s="81"/>
      <c r="F102" s="80"/>
      <c r="G102" s="105">
        <f>SUM(G103)</f>
        <v>0</v>
      </c>
      <c r="H102" s="105">
        <f>SUM(H103)</f>
        <v>0</v>
      </c>
      <c r="I102" s="102">
        <v>0</v>
      </c>
    </row>
    <row r="103" spans="1:9" ht="24.75" customHeight="1" outlineLevel="1">
      <c r="A103" s="54" t="s">
        <v>167</v>
      </c>
      <c r="B103" s="79" t="s">
        <v>42</v>
      </c>
      <c r="C103" s="79" t="s">
        <v>54</v>
      </c>
      <c r="D103" s="79" t="s">
        <v>16</v>
      </c>
      <c r="E103" s="81">
        <v>0</v>
      </c>
      <c r="F103" s="80"/>
      <c r="G103" s="102">
        <f>SUM(G104)</f>
        <v>0</v>
      </c>
      <c r="H103" s="102">
        <f>SUM(H104)</f>
        <v>0</v>
      </c>
      <c r="I103" s="102">
        <v>0</v>
      </c>
    </row>
    <row r="104" spans="1:9" ht="24" outlineLevel="2">
      <c r="A104" s="54" t="s">
        <v>108</v>
      </c>
      <c r="B104" s="79" t="s">
        <v>42</v>
      </c>
      <c r="C104" s="79" t="s">
        <v>54</v>
      </c>
      <c r="D104" s="79" t="s">
        <v>16</v>
      </c>
      <c r="E104" s="81">
        <v>0</v>
      </c>
      <c r="F104" s="80">
        <v>200</v>
      </c>
      <c r="G104" s="102">
        <f>20-20</f>
        <v>0</v>
      </c>
      <c r="H104" s="102">
        <f>20-20</f>
        <v>0</v>
      </c>
      <c r="I104" s="102">
        <v>0</v>
      </c>
    </row>
    <row r="105" spans="1:9" ht="15" customHeight="1" outlineLevel="3">
      <c r="A105" s="54" t="s">
        <v>127</v>
      </c>
      <c r="B105" s="79" t="s">
        <v>42</v>
      </c>
      <c r="C105" s="79" t="s">
        <v>64</v>
      </c>
      <c r="D105" s="79"/>
      <c r="E105" s="81"/>
      <c r="F105" s="80"/>
      <c r="G105" s="105">
        <f>SUM(G106+G110+G119)</f>
        <v>28446.883759999993</v>
      </c>
      <c r="H105" s="105">
        <f>SUM(H106+H110+H119)</f>
        <v>18232.697229999998</v>
      </c>
      <c r="I105" s="102">
        <f t="shared" si="3"/>
        <v>64.09382969264821</v>
      </c>
    </row>
    <row r="106" spans="1:9" ht="4.5" customHeight="1" hidden="1" outlineLevel="3">
      <c r="A106" s="54" t="s">
        <v>156</v>
      </c>
      <c r="B106" s="79" t="s">
        <v>42</v>
      </c>
      <c r="C106" s="79" t="s">
        <v>157</v>
      </c>
      <c r="D106" s="79"/>
      <c r="E106" s="81"/>
      <c r="F106" s="80"/>
      <c r="G106" s="105">
        <f aca="true" t="shared" si="5" ref="G106:H108">SUM(G107)</f>
        <v>0</v>
      </c>
      <c r="H106" s="105">
        <f t="shared" si="5"/>
        <v>0</v>
      </c>
      <c r="I106" s="102" t="e">
        <f t="shared" si="3"/>
        <v>#DIV/0!</v>
      </c>
    </row>
    <row r="107" spans="1:9" ht="46.5" customHeight="1" hidden="1" outlineLevel="3">
      <c r="A107" s="54" t="s">
        <v>253</v>
      </c>
      <c r="B107" s="79" t="s">
        <v>42</v>
      </c>
      <c r="C107" s="79" t="s">
        <v>157</v>
      </c>
      <c r="D107" s="79"/>
      <c r="E107" s="81"/>
      <c r="F107" s="80"/>
      <c r="G107" s="105">
        <f t="shared" si="5"/>
        <v>0</v>
      </c>
      <c r="H107" s="105">
        <f t="shared" si="5"/>
        <v>0</v>
      </c>
      <c r="I107" s="102" t="e">
        <f t="shared" si="3"/>
        <v>#DIV/0!</v>
      </c>
    </row>
    <row r="108" spans="1:9" ht="26.25" customHeight="1" hidden="1" outlineLevel="3">
      <c r="A108" s="54" t="s">
        <v>167</v>
      </c>
      <c r="B108" s="79" t="s">
        <v>42</v>
      </c>
      <c r="C108" s="79" t="s">
        <v>157</v>
      </c>
      <c r="D108" s="79" t="s">
        <v>16</v>
      </c>
      <c r="E108" s="81">
        <v>0</v>
      </c>
      <c r="F108" s="80"/>
      <c r="G108" s="105">
        <f t="shared" si="5"/>
        <v>0</v>
      </c>
      <c r="H108" s="105">
        <f t="shared" si="5"/>
        <v>0</v>
      </c>
      <c r="I108" s="102" t="e">
        <f t="shared" si="3"/>
        <v>#DIV/0!</v>
      </c>
    </row>
    <row r="109" spans="1:9" ht="24" customHeight="1" hidden="1" outlineLevel="3">
      <c r="A109" s="54" t="s">
        <v>108</v>
      </c>
      <c r="B109" s="79" t="s">
        <v>42</v>
      </c>
      <c r="C109" s="79" t="s">
        <v>157</v>
      </c>
      <c r="D109" s="79" t="s">
        <v>16</v>
      </c>
      <c r="E109" s="81">
        <v>0</v>
      </c>
      <c r="F109" s="80">
        <v>200</v>
      </c>
      <c r="G109" s="102">
        <f>24.8+32.7-57.5</f>
        <v>0</v>
      </c>
      <c r="H109" s="102">
        <f>24.8+32.7-57.5</f>
        <v>0</v>
      </c>
      <c r="I109" s="102" t="e">
        <f t="shared" si="3"/>
        <v>#DIV/0!</v>
      </c>
    </row>
    <row r="110" spans="1:9" ht="12.75">
      <c r="A110" s="54" t="s">
        <v>128</v>
      </c>
      <c r="B110" s="79" t="s">
        <v>42</v>
      </c>
      <c r="C110" s="79" t="s">
        <v>55</v>
      </c>
      <c r="D110" s="79"/>
      <c r="E110" s="81"/>
      <c r="F110" s="80"/>
      <c r="G110" s="105">
        <f>SUM(G111+G116)</f>
        <v>27272.636609999994</v>
      </c>
      <c r="H110" s="105">
        <f>SUM(H111+H116)</f>
        <v>17058.45008</v>
      </c>
      <c r="I110" s="102">
        <f t="shared" si="3"/>
        <v>62.54785822117843</v>
      </c>
    </row>
    <row r="111" spans="1:9" ht="38.25" customHeight="1" outlineLevel="1">
      <c r="A111" s="54" t="s">
        <v>227</v>
      </c>
      <c r="B111" s="79" t="s">
        <v>42</v>
      </c>
      <c r="C111" s="79" t="s">
        <v>55</v>
      </c>
      <c r="D111" s="79" t="s">
        <v>160</v>
      </c>
      <c r="E111" s="81">
        <v>0</v>
      </c>
      <c r="F111" s="82"/>
      <c r="G111" s="102">
        <f>SUM(G112:G115)</f>
        <v>27219.998609999995</v>
      </c>
      <c r="H111" s="102">
        <f>SUM(H112:H115)</f>
        <v>17005.81208</v>
      </c>
      <c r="I111" s="102">
        <f t="shared" si="3"/>
        <v>62.47543331524072</v>
      </c>
    </row>
    <row r="112" spans="1:9" ht="24" outlineLevel="2">
      <c r="A112" s="54" t="s">
        <v>108</v>
      </c>
      <c r="B112" s="79" t="s">
        <v>42</v>
      </c>
      <c r="C112" s="79" t="s">
        <v>55</v>
      </c>
      <c r="D112" s="79" t="s">
        <v>160</v>
      </c>
      <c r="E112" s="81">
        <v>0</v>
      </c>
      <c r="F112" s="82">
        <v>200</v>
      </c>
      <c r="G112" s="102">
        <f>5007.2+1130.4-308.7+13418.23151-600+3.0051-300+311.6-7411.6-1000-1596.464+547.362+507.7+588.2</f>
        <v>10296.934609999997</v>
      </c>
      <c r="H112" s="102">
        <v>95.66008</v>
      </c>
      <c r="I112" s="102">
        <f t="shared" si="3"/>
        <v>0.9290151255995984</v>
      </c>
    </row>
    <row r="113" spans="1:9" ht="12.75" outlineLevel="2">
      <c r="A113" s="54" t="s">
        <v>288</v>
      </c>
      <c r="B113" s="79" t="s">
        <v>42</v>
      </c>
      <c r="C113" s="79" t="s">
        <v>55</v>
      </c>
      <c r="D113" s="79" t="s">
        <v>160</v>
      </c>
      <c r="E113" s="81">
        <v>0</v>
      </c>
      <c r="F113" s="82">
        <v>200</v>
      </c>
      <c r="G113" s="102">
        <f>3615-3615+3000</f>
        <v>3000</v>
      </c>
      <c r="H113" s="102">
        <v>2987.088</v>
      </c>
      <c r="I113" s="102">
        <f t="shared" si="3"/>
        <v>99.56960000000001</v>
      </c>
    </row>
    <row r="114" spans="1:9" ht="24" outlineLevel="2">
      <c r="A114" s="54" t="s">
        <v>315</v>
      </c>
      <c r="B114" s="79" t="s">
        <v>42</v>
      </c>
      <c r="C114" s="79" t="s">
        <v>55</v>
      </c>
      <c r="D114" s="79" t="s">
        <v>160</v>
      </c>
      <c r="E114" s="81">
        <v>0</v>
      </c>
      <c r="F114" s="82">
        <v>500</v>
      </c>
      <c r="G114" s="102">
        <f>3615+300+2200+5211.6+1000</f>
        <v>12326.6</v>
      </c>
      <c r="H114" s="102">
        <f>3615+300+2200+5211.6+1000</f>
        <v>12326.6</v>
      </c>
      <c r="I114" s="102">
        <f t="shared" si="3"/>
        <v>100</v>
      </c>
    </row>
    <row r="115" spans="1:9" ht="23.25" customHeight="1" outlineLevel="2">
      <c r="A115" s="54" t="s">
        <v>168</v>
      </c>
      <c r="B115" s="79" t="s">
        <v>42</v>
      </c>
      <c r="C115" s="79" t="s">
        <v>55</v>
      </c>
      <c r="D115" s="79" t="s">
        <v>160</v>
      </c>
      <c r="E115" s="81">
        <v>0</v>
      </c>
      <c r="F115" s="82">
        <v>600</v>
      </c>
      <c r="G115" s="102">
        <f>1596.464</f>
        <v>1596.464</v>
      </c>
      <c r="H115" s="102">
        <f>1596.464</f>
        <v>1596.464</v>
      </c>
      <c r="I115" s="102">
        <f t="shared" si="3"/>
        <v>100</v>
      </c>
    </row>
    <row r="116" spans="1:9" ht="42" customHeight="1" outlineLevel="3">
      <c r="A116" s="54" t="s">
        <v>281</v>
      </c>
      <c r="B116" s="79" t="s">
        <v>42</v>
      </c>
      <c r="C116" s="79" t="s">
        <v>55</v>
      </c>
      <c r="D116" s="79" t="s">
        <v>162</v>
      </c>
      <c r="E116" s="81">
        <v>0</v>
      </c>
      <c r="F116" s="80"/>
      <c r="G116" s="102">
        <f>SUM(G117)</f>
        <v>52.638000000000034</v>
      </c>
      <c r="H116" s="102">
        <f>SUM(H117)</f>
        <v>52.638000000000034</v>
      </c>
      <c r="I116" s="102">
        <f t="shared" si="3"/>
        <v>100</v>
      </c>
    </row>
    <row r="117" spans="1:9" ht="29.25" customHeight="1" outlineLevel="3">
      <c r="A117" s="54" t="s">
        <v>303</v>
      </c>
      <c r="B117" s="79" t="s">
        <v>42</v>
      </c>
      <c r="C117" s="79" t="s">
        <v>55</v>
      </c>
      <c r="D117" s="79" t="s">
        <v>162</v>
      </c>
      <c r="E117" s="81">
        <v>2</v>
      </c>
      <c r="F117" s="80"/>
      <c r="G117" s="102">
        <f>SUM(G118)</f>
        <v>52.638000000000034</v>
      </c>
      <c r="H117" s="102">
        <f>SUM(H118)</f>
        <v>52.638000000000034</v>
      </c>
      <c r="I117" s="102">
        <f t="shared" si="3"/>
        <v>100</v>
      </c>
    </row>
    <row r="118" spans="1:9" ht="24" outlineLevel="3">
      <c r="A118" s="54" t="s">
        <v>108</v>
      </c>
      <c r="B118" s="79" t="s">
        <v>42</v>
      </c>
      <c r="C118" s="79" t="s">
        <v>55</v>
      </c>
      <c r="D118" s="79" t="s">
        <v>162</v>
      </c>
      <c r="E118" s="81">
        <v>2</v>
      </c>
      <c r="F118" s="80">
        <v>200</v>
      </c>
      <c r="G118" s="102">
        <f>600-547.362</f>
        <v>52.638000000000034</v>
      </c>
      <c r="H118" s="102">
        <f>600-547.362</f>
        <v>52.638000000000034</v>
      </c>
      <c r="I118" s="102">
        <f t="shared" si="3"/>
        <v>100</v>
      </c>
    </row>
    <row r="119" spans="1:9" ht="14.25" customHeight="1" outlineLevel="3">
      <c r="A119" s="54" t="s">
        <v>129</v>
      </c>
      <c r="B119" s="79" t="s">
        <v>42</v>
      </c>
      <c r="C119" s="79" t="s">
        <v>57</v>
      </c>
      <c r="D119" s="79"/>
      <c r="E119" s="81"/>
      <c r="F119" s="80"/>
      <c r="G119" s="102">
        <f>SUM(G120+G127+G130+G133+G124)</f>
        <v>1174.2471500000001</v>
      </c>
      <c r="H119" s="102">
        <f>SUM(H120+H127+H130+H133+H124)</f>
        <v>1174.2471500000001</v>
      </c>
      <c r="I119" s="102">
        <f t="shared" si="3"/>
        <v>100</v>
      </c>
    </row>
    <row r="120" spans="1:9" ht="34.5" customHeight="1" outlineLevel="3">
      <c r="A120" s="54" t="s">
        <v>278</v>
      </c>
      <c r="B120" s="79" t="s">
        <v>42</v>
      </c>
      <c r="C120" s="79" t="s">
        <v>57</v>
      </c>
      <c r="D120" s="79" t="s">
        <v>13</v>
      </c>
      <c r="E120" s="81">
        <v>0</v>
      </c>
      <c r="F120" s="80"/>
      <c r="G120" s="102">
        <f>SUM(G121:G123)</f>
        <v>80</v>
      </c>
      <c r="H120" s="102">
        <f>SUM(H121:H123)</f>
        <v>80</v>
      </c>
      <c r="I120" s="102">
        <f t="shared" si="3"/>
        <v>100</v>
      </c>
    </row>
    <row r="121" spans="1:9" ht="24" hidden="1" outlineLevel="3">
      <c r="A121" s="54" t="s">
        <v>108</v>
      </c>
      <c r="B121" s="79" t="s">
        <v>42</v>
      </c>
      <c r="C121" s="79" t="s">
        <v>57</v>
      </c>
      <c r="D121" s="79" t="s">
        <v>13</v>
      </c>
      <c r="E121" s="81">
        <v>0</v>
      </c>
      <c r="F121" s="80">
        <v>200</v>
      </c>
      <c r="G121" s="102">
        <v>0</v>
      </c>
      <c r="H121" s="102">
        <v>0</v>
      </c>
      <c r="I121" s="102" t="e">
        <f t="shared" si="3"/>
        <v>#DIV/0!</v>
      </c>
    </row>
    <row r="122" spans="1:9" ht="12.75" hidden="1" outlineLevel="3">
      <c r="A122" s="54" t="s">
        <v>169</v>
      </c>
      <c r="B122" s="79" t="s">
        <v>42</v>
      </c>
      <c r="C122" s="79" t="s">
        <v>57</v>
      </c>
      <c r="D122" s="79" t="s">
        <v>13</v>
      </c>
      <c r="E122" s="81">
        <v>0</v>
      </c>
      <c r="F122" s="80">
        <v>300</v>
      </c>
      <c r="G122" s="102">
        <f>50-50</f>
        <v>0</v>
      </c>
      <c r="H122" s="102">
        <f>50-50</f>
        <v>0</v>
      </c>
      <c r="I122" s="102">
        <v>0</v>
      </c>
    </row>
    <row r="123" spans="1:9" ht="12.75" outlineLevel="3">
      <c r="A123" s="54" t="s">
        <v>155</v>
      </c>
      <c r="B123" s="79" t="s">
        <v>42</v>
      </c>
      <c r="C123" s="79" t="s">
        <v>57</v>
      </c>
      <c r="D123" s="79" t="s">
        <v>13</v>
      </c>
      <c r="E123" s="81">
        <v>0</v>
      </c>
      <c r="F123" s="80">
        <v>800</v>
      </c>
      <c r="G123" s="102">
        <f>150-90+20</f>
        <v>80</v>
      </c>
      <c r="H123" s="102">
        <f>150-90+20</f>
        <v>80</v>
      </c>
      <c r="I123" s="102">
        <f t="shared" si="3"/>
        <v>100</v>
      </c>
    </row>
    <row r="124" spans="1:9" ht="36.75" customHeight="1" outlineLevel="3">
      <c r="A124" s="54" t="s">
        <v>308</v>
      </c>
      <c r="B124" s="79" t="s">
        <v>42</v>
      </c>
      <c r="C124" s="79" t="s">
        <v>57</v>
      </c>
      <c r="D124" s="79" t="s">
        <v>307</v>
      </c>
      <c r="E124" s="81">
        <v>0</v>
      </c>
      <c r="F124" s="80"/>
      <c r="G124" s="102">
        <f>SUM(G125:G126)</f>
        <v>522.45915</v>
      </c>
      <c r="H124" s="102">
        <f>SUM(H125:H126)</f>
        <v>522.45915</v>
      </c>
      <c r="I124" s="102">
        <f t="shared" si="3"/>
        <v>100</v>
      </c>
    </row>
    <row r="125" spans="1:9" ht="24" outlineLevel="3">
      <c r="A125" s="54" t="s">
        <v>108</v>
      </c>
      <c r="B125" s="79" t="s">
        <v>42</v>
      </c>
      <c r="C125" s="79" t="s">
        <v>57</v>
      </c>
      <c r="D125" s="79" t="s">
        <v>307</v>
      </c>
      <c r="E125" s="81">
        <v>0</v>
      </c>
      <c r="F125" s="80">
        <v>200</v>
      </c>
      <c r="G125" s="102">
        <f>500+21.7183+0.74085</f>
        <v>522.45915</v>
      </c>
      <c r="H125" s="102">
        <f>500+21.7183+0.74085</f>
        <v>522.45915</v>
      </c>
      <c r="I125" s="102">
        <f t="shared" si="3"/>
        <v>100</v>
      </c>
    </row>
    <row r="126" spans="1:9" ht="12.75" outlineLevel="3">
      <c r="A126" s="54" t="s">
        <v>170</v>
      </c>
      <c r="B126" s="79" t="s">
        <v>42</v>
      </c>
      <c r="C126" s="79" t="s">
        <v>57</v>
      </c>
      <c r="D126" s="79" t="s">
        <v>307</v>
      </c>
      <c r="E126" s="81">
        <v>0</v>
      </c>
      <c r="F126" s="80">
        <v>500</v>
      </c>
      <c r="G126" s="102">
        <f>500-500</f>
        <v>0</v>
      </c>
      <c r="H126" s="102">
        <f>500-500</f>
        <v>0</v>
      </c>
      <c r="I126" s="102">
        <v>0</v>
      </c>
    </row>
    <row r="127" spans="1:9" ht="12.75" outlineLevel="3">
      <c r="A127" s="54" t="s">
        <v>130</v>
      </c>
      <c r="B127" s="79" t="s">
        <v>42</v>
      </c>
      <c r="C127" s="79" t="s">
        <v>57</v>
      </c>
      <c r="D127" s="79"/>
      <c r="E127" s="81"/>
      <c r="F127" s="80"/>
      <c r="G127" s="102">
        <f>SUM(G128)</f>
        <v>111</v>
      </c>
      <c r="H127" s="102">
        <f>SUM(H128)</f>
        <v>111</v>
      </c>
      <c r="I127" s="102">
        <f t="shared" si="3"/>
        <v>100</v>
      </c>
    </row>
    <row r="128" spans="1:9" ht="24" outlineLevel="3">
      <c r="A128" s="54" t="s">
        <v>167</v>
      </c>
      <c r="B128" s="79" t="s">
        <v>42</v>
      </c>
      <c r="C128" s="79" t="s">
        <v>57</v>
      </c>
      <c r="D128" s="79" t="s">
        <v>16</v>
      </c>
      <c r="E128" s="81">
        <v>0</v>
      </c>
      <c r="F128" s="80"/>
      <c r="G128" s="102">
        <f>SUM(G129)</f>
        <v>111</v>
      </c>
      <c r="H128" s="102">
        <f>SUM(H129)</f>
        <v>111</v>
      </c>
      <c r="I128" s="102">
        <f t="shared" si="3"/>
        <v>100</v>
      </c>
    </row>
    <row r="129" spans="1:9" ht="23.25" customHeight="1" outlineLevel="1">
      <c r="A129" s="54" t="s">
        <v>108</v>
      </c>
      <c r="B129" s="79" t="s">
        <v>42</v>
      </c>
      <c r="C129" s="79" t="s">
        <v>57</v>
      </c>
      <c r="D129" s="79" t="s">
        <v>16</v>
      </c>
      <c r="E129" s="81">
        <v>0</v>
      </c>
      <c r="F129" s="80">
        <v>200</v>
      </c>
      <c r="G129" s="102">
        <f>325-214</f>
        <v>111</v>
      </c>
      <c r="H129" s="102">
        <f>325-214</f>
        <v>111</v>
      </c>
      <c r="I129" s="102">
        <f t="shared" si="3"/>
        <v>100</v>
      </c>
    </row>
    <row r="130" spans="1:9" ht="13.5" customHeight="1" outlineLevel="1">
      <c r="A130" s="54" t="s">
        <v>56</v>
      </c>
      <c r="B130" s="79" t="s">
        <v>42</v>
      </c>
      <c r="C130" s="79" t="s">
        <v>57</v>
      </c>
      <c r="D130" s="79"/>
      <c r="E130" s="81"/>
      <c r="F130" s="80"/>
      <c r="G130" s="102">
        <f>SUM(G131)</f>
        <v>10.788000000000011</v>
      </c>
      <c r="H130" s="102">
        <f>SUM(H131)</f>
        <v>10.788000000000011</v>
      </c>
      <c r="I130" s="102">
        <f t="shared" si="3"/>
        <v>100</v>
      </c>
    </row>
    <row r="131" spans="1:9" ht="24" outlineLevel="1">
      <c r="A131" s="54" t="s">
        <v>167</v>
      </c>
      <c r="B131" s="79" t="s">
        <v>42</v>
      </c>
      <c r="C131" s="79" t="s">
        <v>57</v>
      </c>
      <c r="D131" s="79" t="s">
        <v>16</v>
      </c>
      <c r="E131" s="81">
        <v>0</v>
      </c>
      <c r="F131" s="80"/>
      <c r="G131" s="102">
        <f aca="true" t="shared" si="6" ref="G131:H133">SUM(G132)</f>
        <v>10.788000000000011</v>
      </c>
      <c r="H131" s="102">
        <f t="shared" si="6"/>
        <v>10.788000000000011</v>
      </c>
      <c r="I131" s="102">
        <f t="shared" si="3"/>
        <v>100</v>
      </c>
    </row>
    <row r="132" spans="1:9" ht="22.5" customHeight="1" outlineLevel="1">
      <c r="A132" s="54" t="s">
        <v>108</v>
      </c>
      <c r="B132" s="79" t="s">
        <v>42</v>
      </c>
      <c r="C132" s="79" t="s">
        <v>57</v>
      </c>
      <c r="D132" s="79" t="s">
        <v>16</v>
      </c>
      <c r="E132" s="81">
        <v>0</v>
      </c>
      <c r="F132" s="80">
        <v>200</v>
      </c>
      <c r="G132" s="102">
        <f>393-193-189.212</f>
        <v>10.788000000000011</v>
      </c>
      <c r="H132" s="102">
        <f>393-193-189.212</f>
        <v>10.788000000000011</v>
      </c>
      <c r="I132" s="102">
        <f t="shared" si="3"/>
        <v>100</v>
      </c>
    </row>
    <row r="133" spans="1:9" ht="24" outlineLevel="1">
      <c r="A133" s="54" t="s">
        <v>167</v>
      </c>
      <c r="B133" s="79" t="s">
        <v>42</v>
      </c>
      <c r="C133" s="79" t="s">
        <v>57</v>
      </c>
      <c r="D133" s="79" t="s">
        <v>16</v>
      </c>
      <c r="E133" s="81">
        <v>0</v>
      </c>
      <c r="F133" s="80"/>
      <c r="G133" s="102">
        <f t="shared" si="6"/>
        <v>450</v>
      </c>
      <c r="H133" s="102">
        <f t="shared" si="6"/>
        <v>450</v>
      </c>
      <c r="I133" s="102">
        <f t="shared" si="3"/>
        <v>100</v>
      </c>
    </row>
    <row r="134" spans="1:9" ht="12.75" outlineLevel="1">
      <c r="A134" s="54" t="s">
        <v>287</v>
      </c>
      <c r="B134" s="79" t="s">
        <v>42</v>
      </c>
      <c r="C134" s="79" t="s">
        <v>57</v>
      </c>
      <c r="D134" s="79" t="s">
        <v>16</v>
      </c>
      <c r="E134" s="81">
        <v>0</v>
      </c>
      <c r="F134" s="80">
        <v>300</v>
      </c>
      <c r="G134" s="102">
        <f>530-60-20</f>
        <v>450</v>
      </c>
      <c r="H134" s="102">
        <f>530-60-20</f>
        <v>450</v>
      </c>
      <c r="I134" s="102">
        <f t="shared" si="3"/>
        <v>100</v>
      </c>
    </row>
    <row r="135" spans="1:9" ht="13.5" customHeight="1" outlineLevel="1">
      <c r="A135" s="54" t="s">
        <v>59</v>
      </c>
      <c r="B135" s="79" t="s">
        <v>42</v>
      </c>
      <c r="C135" s="79" t="s">
        <v>60</v>
      </c>
      <c r="D135" s="79"/>
      <c r="E135" s="81"/>
      <c r="F135" s="80"/>
      <c r="G135" s="102">
        <f>SUM(G136+G137+G147)</f>
        <v>8560.300000000001</v>
      </c>
      <c r="H135" s="102">
        <f>SUM(H136+H137+H147)</f>
        <v>8430.78972</v>
      </c>
      <c r="I135" s="102">
        <f t="shared" si="3"/>
        <v>98.48708246206324</v>
      </c>
    </row>
    <row r="136" spans="1:9" ht="0.75" customHeight="1" hidden="1" outlineLevel="1">
      <c r="A136" s="54" t="s">
        <v>171</v>
      </c>
      <c r="B136" s="79" t="s">
        <v>42</v>
      </c>
      <c r="C136" s="79" t="s">
        <v>172</v>
      </c>
      <c r="D136" s="79"/>
      <c r="E136" s="81"/>
      <c r="F136" s="80"/>
      <c r="G136" s="102">
        <v>0</v>
      </c>
      <c r="H136" s="102">
        <v>0</v>
      </c>
      <c r="I136" s="102" t="e">
        <f t="shared" si="3"/>
        <v>#DIV/0!</v>
      </c>
    </row>
    <row r="137" spans="1:9" ht="12.75" outlineLevel="1">
      <c r="A137" s="54" t="s">
        <v>58</v>
      </c>
      <c r="B137" s="79" t="s">
        <v>42</v>
      </c>
      <c r="C137" s="79" t="s">
        <v>61</v>
      </c>
      <c r="D137" s="79"/>
      <c r="E137" s="81"/>
      <c r="F137" s="80"/>
      <c r="G137" s="102">
        <f>SUM(G138+G142+G144)</f>
        <v>8560.300000000001</v>
      </c>
      <c r="H137" s="102">
        <f>SUM(H138+H142+H144)</f>
        <v>8430.78972</v>
      </c>
      <c r="I137" s="102">
        <f t="shared" si="3"/>
        <v>98.48708246206324</v>
      </c>
    </row>
    <row r="138" spans="1:9" ht="36" outlineLevel="1">
      <c r="A138" s="54" t="s">
        <v>295</v>
      </c>
      <c r="B138" s="79" t="s">
        <v>42</v>
      </c>
      <c r="C138" s="79" t="s">
        <v>61</v>
      </c>
      <c r="D138" s="79" t="s">
        <v>6</v>
      </c>
      <c r="E138" s="81">
        <v>0</v>
      </c>
      <c r="F138" s="80"/>
      <c r="G138" s="102">
        <f>SUM(G139)</f>
        <v>8281.1</v>
      </c>
      <c r="H138" s="102">
        <f>SUM(H139)</f>
        <v>8281.1</v>
      </c>
      <c r="I138" s="102">
        <f aca="true" t="shared" si="7" ref="I138:I201">SUM(H138/G138)*100</f>
        <v>100</v>
      </c>
    </row>
    <row r="139" spans="1:9" ht="38.25" customHeight="1" outlineLevel="2" collapsed="1">
      <c r="A139" s="54" t="s">
        <v>201</v>
      </c>
      <c r="B139" s="79" t="s">
        <v>42</v>
      </c>
      <c r="C139" s="79" t="s">
        <v>61</v>
      </c>
      <c r="D139" s="79" t="s">
        <v>6</v>
      </c>
      <c r="E139" s="81">
        <v>1</v>
      </c>
      <c r="F139" s="80"/>
      <c r="G139" s="102">
        <f>SUM(G140:G141)</f>
        <v>8281.1</v>
      </c>
      <c r="H139" s="102">
        <f>SUM(H140:H141)</f>
        <v>8281.1</v>
      </c>
      <c r="I139" s="102">
        <f t="shared" si="7"/>
        <v>100</v>
      </c>
    </row>
    <row r="140" spans="1:9" ht="24" hidden="1" outlineLevel="5">
      <c r="A140" s="54" t="s">
        <v>108</v>
      </c>
      <c r="B140" s="79" t="s">
        <v>42</v>
      </c>
      <c r="C140" s="79" t="s">
        <v>61</v>
      </c>
      <c r="D140" s="79" t="s">
        <v>6</v>
      </c>
      <c r="E140" s="81">
        <v>1</v>
      </c>
      <c r="F140" s="80">
        <v>200</v>
      </c>
      <c r="G140" s="102">
        <v>0</v>
      </c>
      <c r="H140" s="102">
        <v>0</v>
      </c>
      <c r="I140" s="102" t="e">
        <f t="shared" si="7"/>
        <v>#DIV/0!</v>
      </c>
    </row>
    <row r="141" spans="1:9" ht="12.75" outlineLevel="2">
      <c r="A141" s="54" t="s">
        <v>170</v>
      </c>
      <c r="B141" s="79" t="s">
        <v>42</v>
      </c>
      <c r="C141" s="79" t="s">
        <v>61</v>
      </c>
      <c r="D141" s="79" t="s">
        <v>6</v>
      </c>
      <c r="E141" s="81">
        <v>1</v>
      </c>
      <c r="F141" s="80">
        <v>500</v>
      </c>
      <c r="G141" s="102">
        <f>6926+470.1+250+335+100+200</f>
        <v>8281.1</v>
      </c>
      <c r="H141" s="102">
        <f>6926+470.1+250+335+100+200</f>
        <v>8281.1</v>
      </c>
      <c r="I141" s="102">
        <f t="shared" si="7"/>
        <v>100</v>
      </c>
    </row>
    <row r="142" spans="1:9" ht="36" outlineLevel="5">
      <c r="A142" s="54" t="s">
        <v>305</v>
      </c>
      <c r="B142" s="79" t="s">
        <v>42</v>
      </c>
      <c r="C142" s="79" t="s">
        <v>61</v>
      </c>
      <c r="D142" s="79" t="s">
        <v>202</v>
      </c>
      <c r="E142" s="81">
        <v>0</v>
      </c>
      <c r="F142" s="80"/>
      <c r="G142" s="102">
        <f>SUM(G143)</f>
        <v>0</v>
      </c>
      <c r="H142" s="102">
        <f>SUM(H143)</f>
        <v>0</v>
      </c>
      <c r="I142" s="102">
        <v>0</v>
      </c>
    </row>
    <row r="143" spans="1:9" ht="24" outlineLevel="5">
      <c r="A143" s="54" t="s">
        <v>173</v>
      </c>
      <c r="B143" s="79" t="s">
        <v>42</v>
      </c>
      <c r="C143" s="79" t="s">
        <v>61</v>
      </c>
      <c r="D143" s="79" t="s">
        <v>202</v>
      </c>
      <c r="E143" s="81">
        <v>0</v>
      </c>
      <c r="F143" s="80">
        <v>400</v>
      </c>
      <c r="G143" s="102">
        <v>0</v>
      </c>
      <c r="H143" s="102">
        <v>0</v>
      </c>
      <c r="I143" s="102">
        <v>0</v>
      </c>
    </row>
    <row r="144" spans="1:9" ht="49.5" customHeight="1" outlineLevel="5">
      <c r="A144" s="54" t="s">
        <v>269</v>
      </c>
      <c r="B144" s="79" t="s">
        <v>42</v>
      </c>
      <c r="C144" s="79" t="s">
        <v>61</v>
      </c>
      <c r="D144" s="79"/>
      <c r="E144" s="81"/>
      <c r="F144" s="80"/>
      <c r="G144" s="102">
        <f>SUM(G145)</f>
        <v>279.20000000000005</v>
      </c>
      <c r="H144" s="102">
        <f>SUM(H145)</f>
        <v>149.68972</v>
      </c>
      <c r="I144" s="102">
        <f t="shared" si="7"/>
        <v>53.61379656160457</v>
      </c>
    </row>
    <row r="145" spans="1:9" ht="24" outlineLevel="5">
      <c r="A145" s="54" t="s">
        <v>167</v>
      </c>
      <c r="B145" s="79" t="s">
        <v>42</v>
      </c>
      <c r="C145" s="79" t="s">
        <v>61</v>
      </c>
      <c r="D145" s="79" t="s">
        <v>16</v>
      </c>
      <c r="E145" s="81">
        <v>0</v>
      </c>
      <c r="F145" s="80"/>
      <c r="G145" s="102">
        <f>SUM(G146)</f>
        <v>279.20000000000005</v>
      </c>
      <c r="H145" s="102">
        <f>SUM(H146)</f>
        <v>149.68972</v>
      </c>
      <c r="I145" s="102">
        <f t="shared" si="7"/>
        <v>53.61379656160457</v>
      </c>
    </row>
    <row r="146" spans="1:9" ht="12.75" outlineLevel="5">
      <c r="A146" s="54" t="s">
        <v>155</v>
      </c>
      <c r="B146" s="79" t="s">
        <v>42</v>
      </c>
      <c r="C146" s="79" t="s">
        <v>61</v>
      </c>
      <c r="D146" s="79" t="s">
        <v>16</v>
      </c>
      <c r="E146" s="81">
        <v>0</v>
      </c>
      <c r="F146" s="80">
        <v>800</v>
      </c>
      <c r="G146" s="102">
        <f>172.8+106.4</f>
        <v>279.20000000000005</v>
      </c>
      <c r="H146" s="102">
        <v>149.68972</v>
      </c>
      <c r="I146" s="102">
        <f t="shared" si="7"/>
        <v>53.61379656160457</v>
      </c>
    </row>
    <row r="147" spans="1:9" ht="12.75" hidden="1" outlineLevel="5">
      <c r="A147" s="54" t="s">
        <v>147</v>
      </c>
      <c r="B147" s="79" t="s">
        <v>42</v>
      </c>
      <c r="C147" s="79" t="s">
        <v>146</v>
      </c>
      <c r="D147" s="79"/>
      <c r="E147" s="81"/>
      <c r="F147" s="80"/>
      <c r="G147" s="102">
        <f>SUM(G148)</f>
        <v>0</v>
      </c>
      <c r="H147" s="102">
        <f>SUM(H148)</f>
        <v>0</v>
      </c>
      <c r="I147" s="102" t="e">
        <f t="shared" si="7"/>
        <v>#DIV/0!</v>
      </c>
    </row>
    <row r="148" spans="1:9" ht="24" hidden="1" outlineLevel="5">
      <c r="A148" s="54" t="s">
        <v>167</v>
      </c>
      <c r="B148" s="79" t="s">
        <v>42</v>
      </c>
      <c r="C148" s="79" t="s">
        <v>146</v>
      </c>
      <c r="D148" s="79" t="s">
        <v>16</v>
      </c>
      <c r="E148" s="81">
        <v>0</v>
      </c>
      <c r="F148" s="80"/>
      <c r="G148" s="102">
        <f>SUM(G149)</f>
        <v>0</v>
      </c>
      <c r="H148" s="102">
        <f>SUM(H149)</f>
        <v>0</v>
      </c>
      <c r="I148" s="102" t="e">
        <f t="shared" si="7"/>
        <v>#DIV/0!</v>
      </c>
    </row>
    <row r="149" spans="1:9" ht="24" hidden="1" outlineLevel="5">
      <c r="A149" s="54" t="s">
        <v>108</v>
      </c>
      <c r="B149" s="79" t="s">
        <v>42</v>
      </c>
      <c r="C149" s="79" t="s">
        <v>146</v>
      </c>
      <c r="D149" s="79" t="s">
        <v>16</v>
      </c>
      <c r="E149" s="81">
        <v>0</v>
      </c>
      <c r="F149" s="80">
        <v>200</v>
      </c>
      <c r="G149" s="102">
        <f>400-400</f>
        <v>0</v>
      </c>
      <c r="H149" s="102">
        <f>400-400</f>
        <v>0</v>
      </c>
      <c r="I149" s="102" t="e">
        <f t="shared" si="7"/>
        <v>#DIV/0!</v>
      </c>
    </row>
    <row r="150" spans="1:9" ht="12.75" outlineLevel="5">
      <c r="A150" s="54" t="s">
        <v>62</v>
      </c>
      <c r="B150" s="79" t="s">
        <v>42</v>
      </c>
      <c r="C150" s="79" t="s">
        <v>121</v>
      </c>
      <c r="D150" s="79"/>
      <c r="E150" s="81"/>
      <c r="F150" s="80"/>
      <c r="G150" s="102">
        <f>SUM(G151)</f>
        <v>264.44999999999993</v>
      </c>
      <c r="H150" s="102">
        <f>SUM(H151)</f>
        <v>264.44999999999993</v>
      </c>
      <c r="I150" s="102">
        <f t="shared" si="7"/>
        <v>100</v>
      </c>
    </row>
    <row r="151" spans="1:9" ht="27" customHeight="1" outlineLevel="5">
      <c r="A151" s="54" t="s">
        <v>274</v>
      </c>
      <c r="B151" s="79" t="s">
        <v>42</v>
      </c>
      <c r="C151" s="79" t="s">
        <v>65</v>
      </c>
      <c r="D151" s="79" t="s">
        <v>15</v>
      </c>
      <c r="E151" s="81">
        <v>0</v>
      </c>
      <c r="F151" s="80"/>
      <c r="G151" s="102">
        <f>SUM(G152:G153)</f>
        <v>264.44999999999993</v>
      </c>
      <c r="H151" s="102">
        <f>SUM(H152:H153)</f>
        <v>264.44999999999993</v>
      </c>
      <c r="I151" s="102">
        <f t="shared" si="7"/>
        <v>100</v>
      </c>
    </row>
    <row r="152" spans="1:9" ht="24" customHeight="1" outlineLevel="5">
      <c r="A152" s="54" t="s">
        <v>108</v>
      </c>
      <c r="B152" s="79" t="s">
        <v>42</v>
      </c>
      <c r="C152" s="79" t="s">
        <v>65</v>
      </c>
      <c r="D152" s="79" t="s">
        <v>15</v>
      </c>
      <c r="E152" s="81">
        <v>0</v>
      </c>
      <c r="F152" s="80">
        <v>200</v>
      </c>
      <c r="G152" s="102">
        <f>50+1950-224.4-1735.55</f>
        <v>40.049999999999955</v>
      </c>
      <c r="H152" s="102">
        <f>50+1950-224.4-1735.55</f>
        <v>40.049999999999955</v>
      </c>
      <c r="I152" s="102">
        <f t="shared" si="7"/>
        <v>100</v>
      </c>
    </row>
    <row r="153" spans="1:9" ht="24" customHeight="1" outlineLevel="5">
      <c r="A153" s="54" t="s">
        <v>168</v>
      </c>
      <c r="B153" s="79" t="s">
        <v>42</v>
      </c>
      <c r="C153" s="79" t="s">
        <v>65</v>
      </c>
      <c r="D153" s="79" t="s">
        <v>15</v>
      </c>
      <c r="E153" s="81">
        <v>0</v>
      </c>
      <c r="F153" s="80">
        <v>600</v>
      </c>
      <c r="G153" s="102">
        <f>224.4</f>
        <v>224.4</v>
      </c>
      <c r="H153" s="102">
        <f>224.4</f>
        <v>224.4</v>
      </c>
      <c r="I153" s="102">
        <f t="shared" si="7"/>
        <v>100</v>
      </c>
    </row>
    <row r="154" spans="1:9" ht="18.75" customHeight="1" outlineLevel="5">
      <c r="A154" s="54" t="s">
        <v>66</v>
      </c>
      <c r="B154" s="79" t="s">
        <v>42</v>
      </c>
      <c r="C154" s="79" t="s">
        <v>69</v>
      </c>
      <c r="D154" s="79"/>
      <c r="E154" s="81"/>
      <c r="F154" s="80"/>
      <c r="G154" s="102">
        <f>SUM(G155+G174+G208+G224+G200)</f>
        <v>245689.77637999994</v>
      </c>
      <c r="H154" s="102">
        <f>SUM(H155+H174+H208+H224+H200)</f>
        <v>219109.24730999998</v>
      </c>
      <c r="I154" s="102">
        <f t="shared" si="7"/>
        <v>89.18126368071223</v>
      </c>
    </row>
    <row r="155" spans="1:9" ht="14.25" customHeight="1" outlineLevel="1">
      <c r="A155" s="54" t="s">
        <v>67</v>
      </c>
      <c r="B155" s="79" t="s">
        <v>42</v>
      </c>
      <c r="C155" s="79" t="s">
        <v>68</v>
      </c>
      <c r="D155" s="79"/>
      <c r="E155" s="81"/>
      <c r="F155" s="80"/>
      <c r="G155" s="102">
        <f>SUM(G156+G164+G162+G170)</f>
        <v>60999.802500000005</v>
      </c>
      <c r="H155" s="102">
        <f>SUM(H156+H164+H162+H170)</f>
        <v>38050.049289999995</v>
      </c>
      <c r="I155" s="102">
        <f t="shared" si="7"/>
        <v>62.37733194300095</v>
      </c>
    </row>
    <row r="156" spans="1:9" ht="24" customHeight="1" outlineLevel="2">
      <c r="A156" s="54" t="s">
        <v>295</v>
      </c>
      <c r="B156" s="79" t="s">
        <v>42</v>
      </c>
      <c r="C156" s="79" t="s">
        <v>68</v>
      </c>
      <c r="D156" s="79" t="s">
        <v>6</v>
      </c>
      <c r="E156" s="81">
        <v>0</v>
      </c>
      <c r="F156" s="80"/>
      <c r="G156" s="102">
        <f>SUM(G157+G160)</f>
        <v>22994.901530000003</v>
      </c>
      <c r="H156" s="102">
        <f>SUM(H157+H160)</f>
        <v>994.9015300000001</v>
      </c>
      <c r="I156" s="102">
        <f t="shared" si="7"/>
        <v>4.326617918767839</v>
      </c>
    </row>
    <row r="157" spans="1:9" ht="36" customHeight="1" outlineLevel="3">
      <c r="A157" s="54" t="s">
        <v>222</v>
      </c>
      <c r="B157" s="79" t="s">
        <v>42</v>
      </c>
      <c r="C157" s="79" t="s">
        <v>68</v>
      </c>
      <c r="D157" s="79" t="s">
        <v>6</v>
      </c>
      <c r="E157" s="81">
        <v>3</v>
      </c>
      <c r="F157" s="80"/>
      <c r="G157" s="102">
        <f>SUM(G158:G159)</f>
        <v>22567.902000000002</v>
      </c>
      <c r="H157" s="102">
        <f>SUM(H158:H159)</f>
        <v>567.902</v>
      </c>
      <c r="I157" s="102">
        <f t="shared" si="7"/>
        <v>2.5164146848918434</v>
      </c>
    </row>
    <row r="158" spans="1:9" ht="24" outlineLevel="3">
      <c r="A158" s="54" t="s">
        <v>173</v>
      </c>
      <c r="B158" s="79" t="s">
        <v>42</v>
      </c>
      <c r="C158" s="79" t="s">
        <v>68</v>
      </c>
      <c r="D158" s="79" t="s">
        <v>6</v>
      </c>
      <c r="E158" s="81">
        <v>3</v>
      </c>
      <c r="F158" s="80">
        <v>400</v>
      </c>
      <c r="G158" s="102">
        <f>20000+2000-2000+2000</f>
        <v>22000</v>
      </c>
      <c r="H158" s="102">
        <v>0</v>
      </c>
      <c r="I158" s="102">
        <f t="shared" si="7"/>
        <v>0</v>
      </c>
    </row>
    <row r="159" spans="1:9" ht="24">
      <c r="A159" s="54" t="s">
        <v>168</v>
      </c>
      <c r="B159" s="79" t="s">
        <v>42</v>
      </c>
      <c r="C159" s="79" t="s">
        <v>68</v>
      </c>
      <c r="D159" s="79" t="s">
        <v>6</v>
      </c>
      <c r="E159" s="81">
        <v>3</v>
      </c>
      <c r="F159" s="80">
        <v>600</v>
      </c>
      <c r="G159" s="102">
        <f>299.999+150+15+102.903</f>
        <v>567.902</v>
      </c>
      <c r="H159" s="102">
        <f>299.999+150+15+102.903</f>
        <v>567.902</v>
      </c>
      <c r="I159" s="102">
        <f t="shared" si="7"/>
        <v>100</v>
      </c>
    </row>
    <row r="160" spans="1:9" ht="21.75" customHeight="1">
      <c r="A160" s="54" t="s">
        <v>203</v>
      </c>
      <c r="B160" s="79" t="s">
        <v>42</v>
      </c>
      <c r="C160" s="79" t="s">
        <v>68</v>
      </c>
      <c r="D160" s="79" t="s">
        <v>6</v>
      </c>
      <c r="E160" s="81">
        <v>4</v>
      </c>
      <c r="F160" s="80"/>
      <c r="G160" s="102">
        <f>SUM(G161:G161)</f>
        <v>426.99953</v>
      </c>
      <c r="H160" s="102">
        <f>SUM(H161:H161)</f>
        <v>426.99953</v>
      </c>
      <c r="I160" s="102">
        <f t="shared" si="7"/>
        <v>100</v>
      </c>
    </row>
    <row r="161" spans="1:9" ht="21.75" customHeight="1">
      <c r="A161" s="54" t="s">
        <v>168</v>
      </c>
      <c r="B161" s="79" t="s">
        <v>42</v>
      </c>
      <c r="C161" s="79" t="s">
        <v>68</v>
      </c>
      <c r="D161" s="79" t="s">
        <v>6</v>
      </c>
      <c r="E161" s="81">
        <v>4</v>
      </c>
      <c r="F161" s="80">
        <v>600</v>
      </c>
      <c r="G161" s="102">
        <f>464-15-22-0.00047</f>
        <v>426.99953</v>
      </c>
      <c r="H161" s="102">
        <f>464-15-22-0.00047</f>
        <v>426.99953</v>
      </c>
      <c r="I161" s="102">
        <f t="shared" si="7"/>
        <v>100</v>
      </c>
    </row>
    <row r="162" spans="1:9" ht="38.25" customHeight="1">
      <c r="A162" s="54" t="s">
        <v>265</v>
      </c>
      <c r="B162" s="79" t="s">
        <v>42</v>
      </c>
      <c r="C162" s="79" t="s">
        <v>68</v>
      </c>
      <c r="D162" s="79" t="s">
        <v>223</v>
      </c>
      <c r="E162" s="81">
        <v>0</v>
      </c>
      <c r="F162" s="80"/>
      <c r="G162" s="102">
        <f>SUM(G163:G163)</f>
        <v>98.8</v>
      </c>
      <c r="H162" s="102">
        <f>SUM(H163:H163)</f>
        <v>98.8</v>
      </c>
      <c r="I162" s="102">
        <f t="shared" si="7"/>
        <v>100</v>
      </c>
    </row>
    <row r="163" spans="1:9" ht="23.25" customHeight="1">
      <c r="A163" s="54" t="s">
        <v>168</v>
      </c>
      <c r="B163" s="79" t="s">
        <v>42</v>
      </c>
      <c r="C163" s="79" t="s">
        <v>68</v>
      </c>
      <c r="D163" s="79" t="s">
        <v>223</v>
      </c>
      <c r="E163" s="81">
        <v>0</v>
      </c>
      <c r="F163" s="80">
        <v>600</v>
      </c>
      <c r="G163" s="102">
        <f>98.8</f>
        <v>98.8</v>
      </c>
      <c r="H163" s="102">
        <f>98.8</f>
        <v>98.8</v>
      </c>
      <c r="I163" s="102">
        <f t="shared" si="7"/>
        <v>100</v>
      </c>
    </row>
    <row r="164" spans="1:9" ht="36" outlineLevel="5">
      <c r="A164" s="54" t="s">
        <v>297</v>
      </c>
      <c r="B164" s="79" t="s">
        <v>42</v>
      </c>
      <c r="C164" s="79" t="s">
        <v>68</v>
      </c>
      <c r="D164" s="79" t="s">
        <v>19</v>
      </c>
      <c r="E164" s="81">
        <v>0</v>
      </c>
      <c r="F164" s="80"/>
      <c r="G164" s="102">
        <f>SUM(G165:G169)</f>
        <v>25574.45519</v>
      </c>
      <c r="H164" s="102">
        <f>SUM(H165:H169)</f>
        <v>25132.05519</v>
      </c>
      <c r="I164" s="102">
        <f t="shared" si="7"/>
        <v>98.27014887819394</v>
      </c>
    </row>
    <row r="165" spans="1:9" ht="24" outlineLevel="5">
      <c r="A165" s="54" t="s">
        <v>168</v>
      </c>
      <c r="B165" s="79" t="s">
        <v>42</v>
      </c>
      <c r="C165" s="79" t="s">
        <v>68</v>
      </c>
      <c r="D165" s="79" t="s">
        <v>19</v>
      </c>
      <c r="E165" s="81">
        <v>0</v>
      </c>
      <c r="F165" s="80">
        <v>600</v>
      </c>
      <c r="G165" s="102">
        <f>14756-2356-565.2-1642.4+53.4+121.5+84+320+400.94572-5.79066-105.98187</f>
        <v>11060.473189999999</v>
      </c>
      <c r="H165" s="102">
        <f>14756-2356-565.2-1642.4+53.4+121.5+84+320+400.94572-5.79066-105.98187</f>
        <v>11060.473189999999</v>
      </c>
      <c r="I165" s="102">
        <f t="shared" si="7"/>
        <v>100</v>
      </c>
    </row>
    <row r="166" spans="1:9" ht="34.5" customHeight="1" outlineLevel="5">
      <c r="A166" s="54" t="s">
        <v>159</v>
      </c>
      <c r="B166" s="79" t="s">
        <v>42</v>
      </c>
      <c r="C166" s="79" t="s">
        <v>68</v>
      </c>
      <c r="D166" s="79" t="s">
        <v>19</v>
      </c>
      <c r="E166" s="81">
        <v>0</v>
      </c>
      <c r="F166" s="80">
        <v>600</v>
      </c>
      <c r="G166" s="102">
        <f>11632.3+5837.1-2837.5-187-408.8</f>
        <v>14036.100000000002</v>
      </c>
      <c r="H166" s="102">
        <f>11632.3+5837.1-2837.5-187-408.8-442.4</f>
        <v>13593.700000000003</v>
      </c>
      <c r="I166" s="102">
        <f t="shared" si="7"/>
        <v>96.84812732881642</v>
      </c>
    </row>
    <row r="167" spans="1:9" ht="35.25" customHeight="1" outlineLevel="5">
      <c r="A167" s="54" t="s">
        <v>273</v>
      </c>
      <c r="B167" s="79" t="s">
        <v>42</v>
      </c>
      <c r="C167" s="79" t="s">
        <v>68</v>
      </c>
      <c r="D167" s="79" t="s">
        <v>19</v>
      </c>
      <c r="E167" s="81">
        <v>0</v>
      </c>
      <c r="F167" s="80">
        <v>600</v>
      </c>
      <c r="G167" s="102">
        <v>187</v>
      </c>
      <c r="H167" s="102">
        <v>187</v>
      </c>
      <c r="I167" s="102">
        <f t="shared" si="7"/>
        <v>100</v>
      </c>
    </row>
    <row r="168" spans="1:9" ht="80.25" customHeight="1" outlineLevel="5">
      <c r="A168" s="54" t="s">
        <v>313</v>
      </c>
      <c r="B168" s="79" t="s">
        <v>42</v>
      </c>
      <c r="C168" s="79" t="s">
        <v>68</v>
      </c>
      <c r="D168" s="79" t="s">
        <v>19</v>
      </c>
      <c r="E168" s="81">
        <v>0</v>
      </c>
      <c r="F168" s="80">
        <v>600</v>
      </c>
      <c r="G168" s="102">
        <v>290.3</v>
      </c>
      <c r="H168" s="102">
        <v>290.3</v>
      </c>
      <c r="I168" s="102">
        <f t="shared" si="7"/>
        <v>100</v>
      </c>
    </row>
    <row r="169" spans="1:9" ht="96" outlineLevel="5">
      <c r="A169" s="54" t="s">
        <v>314</v>
      </c>
      <c r="B169" s="79" t="s">
        <v>42</v>
      </c>
      <c r="C169" s="79" t="s">
        <v>68</v>
      </c>
      <c r="D169" s="79" t="s">
        <v>19</v>
      </c>
      <c r="E169" s="81">
        <v>0</v>
      </c>
      <c r="F169" s="80">
        <v>600</v>
      </c>
      <c r="G169" s="102">
        <v>0.582</v>
      </c>
      <c r="H169" s="102">
        <v>0.582</v>
      </c>
      <c r="I169" s="102">
        <f t="shared" si="7"/>
        <v>100</v>
      </c>
    </row>
    <row r="170" spans="1:9" ht="36" outlineLevel="5">
      <c r="A170" s="54" t="s">
        <v>257</v>
      </c>
      <c r="B170" s="79" t="s">
        <v>42</v>
      </c>
      <c r="C170" s="79" t="s">
        <v>68</v>
      </c>
      <c r="D170" s="79" t="s">
        <v>20</v>
      </c>
      <c r="E170" s="81">
        <v>0</v>
      </c>
      <c r="F170" s="103"/>
      <c r="G170" s="105">
        <f>SUM(G171:G173)</f>
        <v>12331.645779999999</v>
      </c>
      <c r="H170" s="105">
        <f>SUM(H171:H173)</f>
        <v>11824.292569999998</v>
      </c>
      <c r="I170" s="102">
        <f t="shared" si="7"/>
        <v>95.88576237875039</v>
      </c>
    </row>
    <row r="171" spans="1:9" ht="45" customHeight="1" outlineLevel="5">
      <c r="A171" s="54" t="s">
        <v>254</v>
      </c>
      <c r="B171" s="79" t="s">
        <v>42</v>
      </c>
      <c r="C171" s="79" t="s">
        <v>68</v>
      </c>
      <c r="D171" s="79" t="s">
        <v>20</v>
      </c>
      <c r="E171" s="81">
        <v>0</v>
      </c>
      <c r="F171" s="80">
        <v>600</v>
      </c>
      <c r="G171" s="102">
        <f>1979.2+4727.1-23.82012+1751.5</f>
        <v>8433.979879999999</v>
      </c>
      <c r="H171" s="102">
        <f>1979.2+4727.1-23.82012+1751.5-507.35321</f>
        <v>7926.626669999999</v>
      </c>
      <c r="I171" s="102">
        <f t="shared" si="7"/>
        <v>93.98441522011314</v>
      </c>
    </row>
    <row r="172" spans="1:9" ht="36" outlineLevel="5">
      <c r="A172" s="54" t="s">
        <v>273</v>
      </c>
      <c r="B172" s="79" t="s">
        <v>42</v>
      </c>
      <c r="C172" s="79" t="s">
        <v>68</v>
      </c>
      <c r="D172" s="79" t="s">
        <v>20</v>
      </c>
      <c r="E172" s="81">
        <v>0</v>
      </c>
      <c r="F172" s="80">
        <v>600</v>
      </c>
      <c r="G172" s="102">
        <v>23.82012</v>
      </c>
      <c r="H172" s="102">
        <v>23.82012</v>
      </c>
      <c r="I172" s="102">
        <f t="shared" si="7"/>
        <v>100</v>
      </c>
    </row>
    <row r="173" spans="1:9" ht="26.25" customHeight="1" outlineLevel="5">
      <c r="A173" s="54" t="s">
        <v>168</v>
      </c>
      <c r="B173" s="79" t="s">
        <v>42</v>
      </c>
      <c r="C173" s="79" t="s">
        <v>68</v>
      </c>
      <c r="D173" s="79" t="s">
        <v>20</v>
      </c>
      <c r="E173" s="81">
        <v>0</v>
      </c>
      <c r="F173" s="80">
        <v>600</v>
      </c>
      <c r="G173" s="102">
        <f>565.2+1642.4+3930.9-200-50-320-51.33142-400.94572-11.36934-1.21014-1229.7976</f>
        <v>3873.8457799999996</v>
      </c>
      <c r="H173" s="102">
        <f>565.2+1642.4+3930.9-200-50-320-51.33142-400.94572-11.36934-1.21014-1229.7976</f>
        <v>3873.8457799999996</v>
      </c>
      <c r="I173" s="102">
        <f t="shared" si="7"/>
        <v>100</v>
      </c>
    </row>
    <row r="174" spans="1:9" ht="20.25" customHeight="1" outlineLevel="5">
      <c r="A174" s="54" t="s">
        <v>75</v>
      </c>
      <c r="B174" s="79" t="s">
        <v>42</v>
      </c>
      <c r="C174" s="79" t="s">
        <v>70</v>
      </c>
      <c r="D174" s="79"/>
      <c r="E174" s="81"/>
      <c r="F174" s="80"/>
      <c r="G174" s="105">
        <f>SUM(G175)</f>
        <v>163617.52881999995</v>
      </c>
      <c r="H174" s="105">
        <f>SUM(H175)</f>
        <v>159993.50243</v>
      </c>
      <c r="I174" s="102">
        <f t="shared" si="7"/>
        <v>97.78506226311066</v>
      </c>
    </row>
    <row r="175" spans="1:9" ht="23.25" customHeight="1" outlineLevel="5">
      <c r="A175" s="54" t="s">
        <v>71</v>
      </c>
      <c r="B175" s="79" t="s">
        <v>42</v>
      </c>
      <c r="C175" s="79" t="s">
        <v>70</v>
      </c>
      <c r="D175" s="79"/>
      <c r="E175" s="81"/>
      <c r="F175" s="80"/>
      <c r="G175" s="102">
        <f>SUM(G176+G185+G183)</f>
        <v>163617.52881999995</v>
      </c>
      <c r="H175" s="102">
        <f>SUM(H176+H185+H183)</f>
        <v>159993.50243</v>
      </c>
      <c r="I175" s="102">
        <f t="shared" si="7"/>
        <v>97.78506226311066</v>
      </c>
    </row>
    <row r="176" spans="1:9" ht="33" customHeight="1" outlineLevel="5">
      <c r="A176" s="54" t="s">
        <v>295</v>
      </c>
      <c r="B176" s="79" t="s">
        <v>42</v>
      </c>
      <c r="C176" s="79" t="s">
        <v>70</v>
      </c>
      <c r="D176" s="79" t="s">
        <v>6</v>
      </c>
      <c r="E176" s="81">
        <v>0</v>
      </c>
      <c r="F176" s="80"/>
      <c r="G176" s="102">
        <f>SUM(G177+G180)</f>
        <v>4859.77923</v>
      </c>
      <c r="H176" s="102">
        <f>SUM(H177+H180)</f>
        <v>4859.77923</v>
      </c>
      <c r="I176" s="102">
        <f t="shared" si="7"/>
        <v>100</v>
      </c>
    </row>
    <row r="177" spans="1:9" ht="30.75" customHeight="1" outlineLevel="5">
      <c r="A177" s="54" t="s">
        <v>222</v>
      </c>
      <c r="B177" s="79" t="s">
        <v>42</v>
      </c>
      <c r="C177" s="79" t="s">
        <v>70</v>
      </c>
      <c r="D177" s="79" t="s">
        <v>6</v>
      </c>
      <c r="E177" s="81">
        <v>3</v>
      </c>
      <c r="F177" s="80"/>
      <c r="G177" s="102">
        <f>SUM(G178:G179)</f>
        <v>3835.78524</v>
      </c>
      <c r="H177" s="102">
        <f>SUM(H178:H179)</f>
        <v>3835.78524</v>
      </c>
      <c r="I177" s="102">
        <f t="shared" si="7"/>
        <v>100</v>
      </c>
    </row>
    <row r="178" spans="1:9" ht="27" customHeight="1" hidden="1" outlineLevel="5">
      <c r="A178" s="54" t="s">
        <v>108</v>
      </c>
      <c r="B178" s="79" t="s">
        <v>42</v>
      </c>
      <c r="C178" s="79" t="s">
        <v>70</v>
      </c>
      <c r="D178" s="79" t="s">
        <v>6</v>
      </c>
      <c r="E178" s="81">
        <v>3</v>
      </c>
      <c r="F178" s="80">
        <v>200</v>
      </c>
      <c r="G178" s="102">
        <v>0</v>
      </c>
      <c r="H178" s="102">
        <v>0</v>
      </c>
      <c r="I178" s="102" t="e">
        <f t="shared" si="7"/>
        <v>#DIV/0!</v>
      </c>
    </row>
    <row r="179" spans="1:9" ht="24" customHeight="1" outlineLevel="5">
      <c r="A179" s="54" t="s">
        <v>168</v>
      </c>
      <c r="B179" s="79" t="s">
        <v>42</v>
      </c>
      <c r="C179" s="79" t="s">
        <v>70</v>
      </c>
      <c r="D179" s="79" t="s">
        <v>6</v>
      </c>
      <c r="E179" s="81">
        <v>3</v>
      </c>
      <c r="F179" s="80">
        <v>600</v>
      </c>
      <c r="G179" s="102">
        <f>410+50+160+0.945+944.2+123+294.5+1820-11.82876+45.00601-0.03701</f>
        <v>3835.78524</v>
      </c>
      <c r="H179" s="102">
        <f>410+50+160+0.945+944.2+123+294.5+1820-11.82876+45.00601-0.03701</f>
        <v>3835.78524</v>
      </c>
      <c r="I179" s="102">
        <f t="shared" si="7"/>
        <v>100</v>
      </c>
    </row>
    <row r="180" spans="1:9" ht="27" customHeight="1" outlineLevel="5">
      <c r="A180" s="54" t="s">
        <v>203</v>
      </c>
      <c r="B180" s="79" t="s">
        <v>42</v>
      </c>
      <c r="C180" s="79" t="s">
        <v>70</v>
      </c>
      <c r="D180" s="79" t="s">
        <v>6</v>
      </c>
      <c r="E180" s="81">
        <v>4</v>
      </c>
      <c r="F180" s="80"/>
      <c r="G180" s="102">
        <f>SUM(G181:G182)</f>
        <v>1023.9939899999999</v>
      </c>
      <c r="H180" s="102">
        <f>SUM(H181:H182)</f>
        <v>1023.9939899999999</v>
      </c>
      <c r="I180" s="102">
        <f t="shared" si="7"/>
        <v>100</v>
      </c>
    </row>
    <row r="181" spans="1:9" ht="24" customHeight="1" outlineLevel="5">
      <c r="A181" s="54" t="s">
        <v>108</v>
      </c>
      <c r="B181" s="79" t="s">
        <v>42</v>
      </c>
      <c r="C181" s="79" t="s">
        <v>70</v>
      </c>
      <c r="D181" s="79" t="s">
        <v>6</v>
      </c>
      <c r="E181" s="81">
        <v>4</v>
      </c>
      <c r="F181" s="80">
        <v>200</v>
      </c>
      <c r="G181" s="102">
        <v>74</v>
      </c>
      <c r="H181" s="102">
        <v>74</v>
      </c>
      <c r="I181" s="102">
        <f t="shared" si="7"/>
        <v>100</v>
      </c>
    </row>
    <row r="182" spans="1:9" ht="22.5" customHeight="1" outlineLevel="5">
      <c r="A182" s="54" t="s">
        <v>168</v>
      </c>
      <c r="B182" s="79" t="s">
        <v>42</v>
      </c>
      <c r="C182" s="79" t="s">
        <v>70</v>
      </c>
      <c r="D182" s="79" t="s">
        <v>6</v>
      </c>
      <c r="E182" s="81">
        <v>4</v>
      </c>
      <c r="F182" s="80">
        <v>600</v>
      </c>
      <c r="G182" s="102">
        <f>992+22-59+40-45.00601</f>
        <v>949.9939899999999</v>
      </c>
      <c r="H182" s="102">
        <f>992+22-59+40-45.00601</f>
        <v>949.9939899999999</v>
      </c>
      <c r="I182" s="102">
        <f t="shared" si="7"/>
        <v>100</v>
      </c>
    </row>
    <row r="183" spans="1:9" ht="47.25" customHeight="1" outlineLevel="3">
      <c r="A183" s="54" t="s">
        <v>265</v>
      </c>
      <c r="B183" s="79" t="s">
        <v>42</v>
      </c>
      <c r="C183" s="79" t="s">
        <v>70</v>
      </c>
      <c r="D183" s="79" t="s">
        <v>223</v>
      </c>
      <c r="E183" s="81">
        <v>0</v>
      </c>
      <c r="F183" s="80"/>
      <c r="G183" s="102">
        <f>SUM(G184:G184)</f>
        <v>170</v>
      </c>
      <c r="H183" s="102">
        <f>SUM(H184:H184)</f>
        <v>170</v>
      </c>
      <c r="I183" s="102">
        <f t="shared" si="7"/>
        <v>100</v>
      </c>
    </row>
    <row r="184" spans="1:9" ht="24" outlineLevel="3">
      <c r="A184" s="54" t="s">
        <v>168</v>
      </c>
      <c r="B184" s="79" t="s">
        <v>42</v>
      </c>
      <c r="C184" s="79" t="s">
        <v>70</v>
      </c>
      <c r="D184" s="79" t="s">
        <v>223</v>
      </c>
      <c r="E184" s="81">
        <v>0</v>
      </c>
      <c r="F184" s="80">
        <v>600</v>
      </c>
      <c r="G184" s="102">
        <f>130.1+39.9</f>
        <v>170</v>
      </c>
      <c r="H184" s="102">
        <f>130.1+39.9</f>
        <v>170</v>
      </c>
      <c r="I184" s="102">
        <f t="shared" si="7"/>
        <v>100</v>
      </c>
    </row>
    <row r="185" spans="1:9" ht="36" outlineLevel="3">
      <c r="A185" s="54" t="s">
        <v>257</v>
      </c>
      <c r="B185" s="79" t="s">
        <v>42</v>
      </c>
      <c r="C185" s="79" t="s">
        <v>70</v>
      </c>
      <c r="D185" s="79" t="s">
        <v>20</v>
      </c>
      <c r="E185" s="81">
        <v>0</v>
      </c>
      <c r="F185" s="103"/>
      <c r="G185" s="105">
        <f>SUM(G186+G191)</f>
        <v>158587.74958999996</v>
      </c>
      <c r="H185" s="105">
        <f>SUM(H186+H191)</f>
        <v>154963.72319999998</v>
      </c>
      <c r="I185" s="102">
        <f t="shared" si="7"/>
        <v>97.71481315589051</v>
      </c>
    </row>
    <row r="186" spans="1:9" ht="21" customHeight="1" outlineLevel="3">
      <c r="A186" s="54" t="s">
        <v>74</v>
      </c>
      <c r="B186" s="79" t="s">
        <v>42</v>
      </c>
      <c r="C186" s="79" t="s">
        <v>70</v>
      </c>
      <c r="D186" s="79" t="s">
        <v>20</v>
      </c>
      <c r="E186" s="81">
        <v>0</v>
      </c>
      <c r="F186" s="80"/>
      <c r="G186" s="102">
        <f>SUM(G187:G190)</f>
        <v>24181.569589999996</v>
      </c>
      <c r="H186" s="102">
        <f>SUM(H187:H190)</f>
        <v>24080.62704</v>
      </c>
      <c r="I186" s="102">
        <f t="shared" si="7"/>
        <v>99.58256411096764</v>
      </c>
    </row>
    <row r="187" spans="1:9" ht="47.25" customHeight="1" outlineLevel="3">
      <c r="A187" s="54" t="s">
        <v>107</v>
      </c>
      <c r="B187" s="79" t="s">
        <v>42</v>
      </c>
      <c r="C187" s="79" t="s">
        <v>70</v>
      </c>
      <c r="D187" s="79" t="s">
        <v>20</v>
      </c>
      <c r="E187" s="81">
        <v>0</v>
      </c>
      <c r="F187" s="80">
        <v>100</v>
      </c>
      <c r="G187" s="102">
        <f>63.7-36.6+220.3+63.3-24.59131+3.52704-5.12</f>
        <v>284.51572999999996</v>
      </c>
      <c r="H187" s="102">
        <f>63.7-36.6+220.3+63.3-24.59131+3.52704-5.12</f>
        <v>284.51572999999996</v>
      </c>
      <c r="I187" s="102">
        <f t="shared" si="7"/>
        <v>100</v>
      </c>
    </row>
    <row r="188" spans="1:9" ht="24" outlineLevel="3">
      <c r="A188" s="54" t="s">
        <v>108</v>
      </c>
      <c r="B188" s="79" t="s">
        <v>42</v>
      </c>
      <c r="C188" s="79" t="s">
        <v>70</v>
      </c>
      <c r="D188" s="79" t="s">
        <v>20</v>
      </c>
      <c r="E188" s="81">
        <v>0</v>
      </c>
      <c r="F188" s="80">
        <v>200</v>
      </c>
      <c r="G188" s="102">
        <f>1121.8+605.6+42.4-63.3+24.59131-58.78634-66.91848+6.5-6.76238</f>
        <v>1605.1241100000002</v>
      </c>
      <c r="H188" s="102">
        <v>1510.38486</v>
      </c>
      <c r="I188" s="102">
        <f t="shared" si="7"/>
        <v>94.09769939845958</v>
      </c>
    </row>
    <row r="189" spans="1:9" ht="12.75" outlineLevel="3">
      <c r="A189" s="54" t="s">
        <v>155</v>
      </c>
      <c r="B189" s="79" t="s">
        <v>42</v>
      </c>
      <c r="C189" s="79" t="s">
        <v>70</v>
      </c>
      <c r="D189" s="79" t="s">
        <v>20</v>
      </c>
      <c r="E189" s="81">
        <v>0</v>
      </c>
      <c r="F189" s="80">
        <v>800</v>
      </c>
      <c r="G189" s="102">
        <f>39.2+11-8.45243</f>
        <v>41.74757</v>
      </c>
      <c r="H189" s="102">
        <f>39.2+11-8.45243</f>
        <v>41.74757</v>
      </c>
      <c r="I189" s="102">
        <f t="shared" si="7"/>
        <v>100</v>
      </c>
    </row>
    <row r="190" spans="1:9" ht="29.25" customHeight="1" outlineLevel="3">
      <c r="A190" s="54" t="s">
        <v>168</v>
      </c>
      <c r="B190" s="79" t="s">
        <v>42</v>
      </c>
      <c r="C190" s="79" t="s">
        <v>70</v>
      </c>
      <c r="D190" s="79" t="s">
        <v>20</v>
      </c>
      <c r="E190" s="81">
        <v>0</v>
      </c>
      <c r="F190" s="80">
        <v>600</v>
      </c>
      <c r="G190" s="102">
        <f>17111.4+6427.4+1514.6+57.998+25+200+320+351.1+50+51.33142-596.33826-3.52704-19.49494-0.33306-3259.59974+14.4425+6.2033</f>
        <v>22250.182179999996</v>
      </c>
      <c r="H190" s="102">
        <v>22243.97888</v>
      </c>
      <c r="I190" s="102">
        <f t="shared" si="7"/>
        <v>99.97212022827581</v>
      </c>
    </row>
    <row r="191" spans="1:9" ht="18.75" customHeight="1" outlineLevel="3">
      <c r="A191" s="54" t="s">
        <v>175</v>
      </c>
      <c r="B191" s="79" t="s">
        <v>42</v>
      </c>
      <c r="C191" s="79" t="s">
        <v>70</v>
      </c>
      <c r="D191" s="79" t="s">
        <v>20</v>
      </c>
      <c r="E191" s="81">
        <v>0</v>
      </c>
      <c r="F191" s="80"/>
      <c r="G191" s="102">
        <f>SUM(G192:G199)</f>
        <v>134406.17999999996</v>
      </c>
      <c r="H191" s="102">
        <f>SUM(H192:H199)</f>
        <v>130883.09615999999</v>
      </c>
      <c r="I191" s="102">
        <f t="shared" si="7"/>
        <v>97.37877838652956</v>
      </c>
    </row>
    <row r="192" spans="1:9" ht="49.5" customHeight="1" outlineLevel="3">
      <c r="A192" s="54" t="s">
        <v>107</v>
      </c>
      <c r="B192" s="79" t="s">
        <v>42</v>
      </c>
      <c r="C192" s="79" t="s">
        <v>70</v>
      </c>
      <c r="D192" s="79" t="s">
        <v>20</v>
      </c>
      <c r="E192" s="81">
        <v>0</v>
      </c>
      <c r="F192" s="80">
        <v>100</v>
      </c>
      <c r="G192" s="102">
        <f>3873+2277.2+792.9-175.42064+803.32064</f>
        <v>7570.999999999999</v>
      </c>
      <c r="H192" s="102">
        <f>3873+2277.2+792.9-175.42064+803.32064-207.27645-76.45866</f>
        <v>7287.264889999999</v>
      </c>
      <c r="I192" s="102">
        <f t="shared" si="7"/>
        <v>96.25234301941619</v>
      </c>
    </row>
    <row r="193" spans="1:9" ht="37.5" customHeight="1" outlineLevel="3">
      <c r="A193" s="54" t="s">
        <v>272</v>
      </c>
      <c r="B193" s="79" t="s">
        <v>42</v>
      </c>
      <c r="C193" s="79" t="s">
        <v>70</v>
      </c>
      <c r="D193" s="79" t="s">
        <v>20</v>
      </c>
      <c r="E193" s="81">
        <v>0</v>
      </c>
      <c r="F193" s="80">
        <v>100</v>
      </c>
      <c r="G193" s="102">
        <v>175.42064</v>
      </c>
      <c r="H193" s="102">
        <v>175.42064</v>
      </c>
      <c r="I193" s="102">
        <f t="shared" si="7"/>
        <v>100</v>
      </c>
    </row>
    <row r="194" spans="1:9" ht="21.75" customHeight="1" outlineLevel="3">
      <c r="A194" s="54" t="s">
        <v>108</v>
      </c>
      <c r="B194" s="79" t="s">
        <v>42</v>
      </c>
      <c r="C194" s="79" t="s">
        <v>70</v>
      </c>
      <c r="D194" s="79" t="s">
        <v>20</v>
      </c>
      <c r="E194" s="81">
        <v>0</v>
      </c>
      <c r="F194" s="80">
        <v>200</v>
      </c>
      <c r="G194" s="102">
        <f>39.2+462.8+20-364.81307+1.22221</f>
        <v>158.40914</v>
      </c>
      <c r="H194" s="102">
        <f>39.2+462.8+20-364.81307+1.22221</f>
        <v>158.40914</v>
      </c>
      <c r="I194" s="102">
        <f t="shared" si="7"/>
        <v>100</v>
      </c>
    </row>
    <row r="195" spans="1:9" ht="16.5" customHeight="1" outlineLevel="3">
      <c r="A195" s="54" t="s">
        <v>73</v>
      </c>
      <c r="B195" s="79" t="s">
        <v>42</v>
      </c>
      <c r="C195" s="79" t="s">
        <v>70</v>
      </c>
      <c r="D195" s="79" t="s">
        <v>20</v>
      </c>
      <c r="E195" s="81">
        <v>0</v>
      </c>
      <c r="F195" s="80">
        <v>200</v>
      </c>
      <c r="G195" s="102">
        <f>38.3-3.4+70.55+35.15-62-3.30333-1.75667</f>
        <v>73.53999999999999</v>
      </c>
      <c r="H195" s="102">
        <f>38.3-3.4+70.55+35.15-62-3.30333-1.75667</f>
        <v>73.53999999999999</v>
      </c>
      <c r="I195" s="102">
        <f t="shared" si="7"/>
        <v>100</v>
      </c>
    </row>
    <row r="196" spans="1:9" ht="18" customHeight="1" outlineLevel="3">
      <c r="A196" s="54" t="s">
        <v>72</v>
      </c>
      <c r="B196" s="79" t="s">
        <v>42</v>
      </c>
      <c r="C196" s="79" t="s">
        <v>70</v>
      </c>
      <c r="D196" s="79" t="s">
        <v>20</v>
      </c>
      <c r="E196" s="81">
        <v>0</v>
      </c>
      <c r="F196" s="80">
        <v>600</v>
      </c>
      <c r="G196" s="102">
        <f>99600.2-16463.9-2.7+17534.7-462.8-2277.2+16016.4-812.9-1849.40776+364.81307+8946.97936-1.22221-0.02</f>
        <v>120592.94245999998</v>
      </c>
      <c r="H196" s="102">
        <f>99600.2-16463.9-2.7+17534.7-462.8-2277.2+16016.4-812.9-1849.40776+364.81307+8946.97936-1.22221-0.02-2534.81872-641.31777-0.11224</f>
        <v>117416.69372999998</v>
      </c>
      <c r="I196" s="102">
        <f t="shared" si="7"/>
        <v>97.36614045133402</v>
      </c>
    </row>
    <row r="197" spans="1:9" ht="39" customHeight="1" outlineLevel="3">
      <c r="A197" s="54" t="s">
        <v>273</v>
      </c>
      <c r="B197" s="79" t="s">
        <v>42</v>
      </c>
      <c r="C197" s="79" t="s">
        <v>70</v>
      </c>
      <c r="D197" s="79" t="s">
        <v>20</v>
      </c>
      <c r="E197" s="81">
        <v>0</v>
      </c>
      <c r="F197" s="80">
        <v>600</v>
      </c>
      <c r="G197" s="102">
        <v>1849.40776</v>
      </c>
      <c r="H197" s="102">
        <v>1849.40776</v>
      </c>
      <c r="I197" s="102">
        <f t="shared" si="7"/>
        <v>100</v>
      </c>
    </row>
    <row r="198" spans="1:9" ht="14.25" customHeight="1" outlineLevel="3">
      <c r="A198" s="54" t="s">
        <v>73</v>
      </c>
      <c r="B198" s="79" t="s">
        <v>42</v>
      </c>
      <c r="C198" s="79" t="s">
        <v>70</v>
      </c>
      <c r="D198" s="79" t="s">
        <v>20</v>
      </c>
      <c r="E198" s="81">
        <v>0</v>
      </c>
      <c r="F198" s="80">
        <v>600</v>
      </c>
      <c r="G198" s="102">
        <f>1665.7+317.2-606.6+3.4+2196.2-70.55+1184.75-628.7-340+3.30333+1.75667</f>
        <v>3726.460000000001</v>
      </c>
      <c r="H198" s="102">
        <v>3726.46</v>
      </c>
      <c r="I198" s="102">
        <f t="shared" si="7"/>
        <v>99.99999999999997</v>
      </c>
    </row>
    <row r="199" spans="1:9" ht="24" customHeight="1" outlineLevel="3">
      <c r="A199" s="54" t="s">
        <v>174</v>
      </c>
      <c r="B199" s="79" t="s">
        <v>42</v>
      </c>
      <c r="C199" s="79" t="s">
        <v>70</v>
      </c>
      <c r="D199" s="79" t="s">
        <v>20</v>
      </c>
      <c r="E199" s="81">
        <v>0</v>
      </c>
      <c r="F199" s="80">
        <v>600</v>
      </c>
      <c r="G199" s="102">
        <f>259</f>
        <v>259</v>
      </c>
      <c r="H199" s="102">
        <v>195.9</v>
      </c>
      <c r="I199" s="102">
        <f t="shared" si="7"/>
        <v>75.63706563706563</v>
      </c>
    </row>
    <row r="200" spans="1:9" ht="21.75" customHeight="1" outlineLevel="1">
      <c r="A200" s="54" t="s">
        <v>228</v>
      </c>
      <c r="B200" s="79" t="s">
        <v>42</v>
      </c>
      <c r="C200" s="79" t="s">
        <v>229</v>
      </c>
      <c r="D200" s="79"/>
      <c r="E200" s="81"/>
      <c r="F200" s="80"/>
      <c r="G200" s="102">
        <f>SUM(G204+G206+G201)</f>
        <v>11894.799599999998</v>
      </c>
      <c r="H200" s="102">
        <f>SUM(H204+H206+H201)</f>
        <v>11888.05013</v>
      </c>
      <c r="I200" s="102">
        <f t="shared" si="7"/>
        <v>99.94325696752387</v>
      </c>
    </row>
    <row r="201" spans="1:9" ht="1.5" customHeight="1" hidden="1" outlineLevel="1">
      <c r="A201" s="54" t="s">
        <v>217</v>
      </c>
      <c r="B201" s="79" t="s">
        <v>42</v>
      </c>
      <c r="C201" s="79" t="s">
        <v>229</v>
      </c>
      <c r="D201" s="79" t="s">
        <v>6</v>
      </c>
      <c r="E201" s="81">
        <v>0</v>
      </c>
      <c r="F201" s="80"/>
      <c r="G201" s="102">
        <f>SUM(G202)</f>
        <v>0</v>
      </c>
      <c r="H201" s="102">
        <f>SUM(H202)</f>
        <v>0</v>
      </c>
      <c r="I201" s="102" t="e">
        <f t="shared" si="7"/>
        <v>#DIV/0!</v>
      </c>
    </row>
    <row r="202" spans="1:9" ht="21" customHeight="1" hidden="1" outlineLevel="1">
      <c r="A202" s="54" t="s">
        <v>222</v>
      </c>
      <c r="B202" s="79" t="s">
        <v>42</v>
      </c>
      <c r="C202" s="79" t="s">
        <v>229</v>
      </c>
      <c r="D202" s="79" t="s">
        <v>6</v>
      </c>
      <c r="E202" s="81">
        <v>3</v>
      </c>
      <c r="F202" s="80"/>
      <c r="G202" s="102">
        <f>SUM(G203:G203)</f>
        <v>0</v>
      </c>
      <c r="H202" s="102">
        <f>SUM(H203:H203)</f>
        <v>0</v>
      </c>
      <c r="I202" s="102" t="e">
        <f aca="true" t="shared" si="8" ref="I202:I265">SUM(H202/G202)*100</f>
        <v>#DIV/0!</v>
      </c>
    </row>
    <row r="203" spans="1:9" ht="24.75" customHeight="1" hidden="1" outlineLevel="1">
      <c r="A203" s="54" t="s">
        <v>168</v>
      </c>
      <c r="B203" s="79" t="s">
        <v>42</v>
      </c>
      <c r="C203" s="79" t="s">
        <v>229</v>
      </c>
      <c r="D203" s="79" t="s">
        <v>6</v>
      </c>
      <c r="E203" s="81">
        <v>3</v>
      </c>
      <c r="F203" s="80">
        <v>600</v>
      </c>
      <c r="G203" s="102">
        <v>0</v>
      </c>
      <c r="H203" s="102">
        <v>0</v>
      </c>
      <c r="I203" s="102" t="e">
        <f t="shared" si="8"/>
        <v>#DIV/0!</v>
      </c>
    </row>
    <row r="204" spans="1:9" ht="42" customHeight="1" outlineLevel="1">
      <c r="A204" s="54" t="s">
        <v>293</v>
      </c>
      <c r="B204" s="79" t="s">
        <v>42</v>
      </c>
      <c r="C204" s="79" t="s">
        <v>229</v>
      </c>
      <c r="D204" s="79" t="s">
        <v>21</v>
      </c>
      <c r="E204" s="81">
        <v>0</v>
      </c>
      <c r="F204" s="80"/>
      <c r="G204" s="102">
        <f>SUM(G205:G205)</f>
        <v>5800.6</v>
      </c>
      <c r="H204" s="102">
        <f>SUM(H205:H205)</f>
        <v>5800.6</v>
      </c>
      <c r="I204" s="102">
        <f t="shared" si="8"/>
        <v>100</v>
      </c>
    </row>
    <row r="205" spans="1:9" ht="28.5" customHeight="1" outlineLevel="1">
      <c r="A205" s="54" t="s">
        <v>168</v>
      </c>
      <c r="B205" s="79" t="s">
        <v>42</v>
      </c>
      <c r="C205" s="79" t="s">
        <v>229</v>
      </c>
      <c r="D205" s="79" t="s">
        <v>21</v>
      </c>
      <c r="E205" s="81">
        <v>0</v>
      </c>
      <c r="F205" s="80">
        <v>600</v>
      </c>
      <c r="G205" s="102">
        <f>5300-1000+1500.6</f>
        <v>5800.6</v>
      </c>
      <c r="H205" s="102">
        <f>5300-1000+1500.6</f>
        <v>5800.6</v>
      </c>
      <c r="I205" s="102">
        <f t="shared" si="8"/>
        <v>100</v>
      </c>
    </row>
    <row r="206" spans="1:9" ht="39.75" customHeight="1" outlineLevel="1">
      <c r="A206" s="54" t="s">
        <v>294</v>
      </c>
      <c r="B206" s="79" t="s">
        <v>42</v>
      </c>
      <c r="C206" s="79" t="s">
        <v>229</v>
      </c>
      <c r="D206" s="79" t="s">
        <v>22</v>
      </c>
      <c r="E206" s="81">
        <v>0</v>
      </c>
      <c r="F206" s="80"/>
      <c r="G206" s="102">
        <f>SUM(G207:G207)</f>
        <v>6094.199599999999</v>
      </c>
      <c r="H206" s="102">
        <f>SUM(H207:H207)</f>
        <v>6087.45013</v>
      </c>
      <c r="I206" s="102">
        <f t="shared" si="8"/>
        <v>99.88924763803276</v>
      </c>
    </row>
    <row r="207" spans="1:9" ht="24" customHeight="1" outlineLevel="1">
      <c r="A207" s="54" t="s">
        <v>168</v>
      </c>
      <c r="B207" s="79" t="s">
        <v>42</v>
      </c>
      <c r="C207" s="79" t="s">
        <v>229</v>
      </c>
      <c r="D207" s="79" t="s">
        <v>22</v>
      </c>
      <c r="E207" s="81">
        <v>0</v>
      </c>
      <c r="F207" s="80">
        <v>600</v>
      </c>
      <c r="G207" s="102">
        <f>6350-2250+1061+318.16+82.52+19.9+301.6+100.48241+1.69+66.69749+35.40023+6.74947</f>
        <v>6094.199599999999</v>
      </c>
      <c r="H207" s="102">
        <v>6087.45013</v>
      </c>
      <c r="I207" s="102">
        <f t="shared" si="8"/>
        <v>99.88924763803276</v>
      </c>
    </row>
    <row r="208" spans="1:9" ht="21" customHeight="1" outlineLevel="1">
      <c r="A208" s="55" t="s">
        <v>77</v>
      </c>
      <c r="B208" s="79" t="s">
        <v>42</v>
      </c>
      <c r="C208" s="79" t="s">
        <v>76</v>
      </c>
      <c r="D208" s="79" t="s">
        <v>0</v>
      </c>
      <c r="E208" s="81" t="s">
        <v>0</v>
      </c>
      <c r="F208" s="80"/>
      <c r="G208" s="102">
        <f>SUM(G209+G218+G220)</f>
        <v>7780.560979999999</v>
      </c>
      <c r="H208" s="102">
        <f>SUM(H209+H218+H220)</f>
        <v>7780.560979999999</v>
      </c>
      <c r="I208" s="102">
        <f t="shared" si="8"/>
        <v>100</v>
      </c>
    </row>
    <row r="209" spans="1:9" ht="37.5" customHeight="1" outlineLevel="1">
      <c r="A209" s="55" t="s">
        <v>271</v>
      </c>
      <c r="B209" s="79" t="s">
        <v>42</v>
      </c>
      <c r="C209" s="79" t="s">
        <v>76</v>
      </c>
      <c r="D209" s="79" t="s">
        <v>26</v>
      </c>
      <c r="E209" s="81">
        <v>0</v>
      </c>
      <c r="F209" s="80"/>
      <c r="G209" s="102">
        <f>SUM(G210+G212+G214)</f>
        <v>200</v>
      </c>
      <c r="H209" s="102">
        <f>SUM(H210+H212+H214)</f>
        <v>200</v>
      </c>
      <c r="I209" s="102">
        <f t="shared" si="8"/>
        <v>100</v>
      </c>
    </row>
    <row r="210" spans="1:9" ht="24" customHeight="1" outlineLevel="3">
      <c r="A210" s="54" t="s">
        <v>176</v>
      </c>
      <c r="B210" s="79" t="s">
        <v>42</v>
      </c>
      <c r="C210" s="79" t="s">
        <v>76</v>
      </c>
      <c r="D210" s="79" t="s">
        <v>26</v>
      </c>
      <c r="E210" s="81">
        <v>1</v>
      </c>
      <c r="F210" s="80"/>
      <c r="G210" s="102">
        <f>SUM(G211)</f>
        <v>50</v>
      </c>
      <c r="H210" s="102">
        <f>SUM(H211)</f>
        <v>50</v>
      </c>
      <c r="I210" s="102">
        <f t="shared" si="8"/>
        <v>100</v>
      </c>
    </row>
    <row r="211" spans="1:9" ht="21.75" customHeight="1" outlineLevel="3">
      <c r="A211" s="54" t="s">
        <v>108</v>
      </c>
      <c r="B211" s="79" t="s">
        <v>42</v>
      </c>
      <c r="C211" s="79" t="s">
        <v>76</v>
      </c>
      <c r="D211" s="79" t="s">
        <v>26</v>
      </c>
      <c r="E211" s="81">
        <v>1</v>
      </c>
      <c r="F211" s="80">
        <v>200</v>
      </c>
      <c r="G211" s="102">
        <f>50</f>
        <v>50</v>
      </c>
      <c r="H211" s="102">
        <f>50</f>
        <v>50</v>
      </c>
      <c r="I211" s="102">
        <f t="shared" si="8"/>
        <v>100</v>
      </c>
    </row>
    <row r="212" spans="1:9" s="16" customFormat="1" ht="16.5" customHeight="1" outlineLevel="2">
      <c r="A212" s="54" t="s">
        <v>177</v>
      </c>
      <c r="B212" s="79" t="s">
        <v>42</v>
      </c>
      <c r="C212" s="79" t="s">
        <v>76</v>
      </c>
      <c r="D212" s="79" t="s">
        <v>26</v>
      </c>
      <c r="E212" s="81">
        <v>2</v>
      </c>
      <c r="F212" s="80"/>
      <c r="G212" s="102">
        <f>SUM(G213)</f>
        <v>100</v>
      </c>
      <c r="H212" s="102">
        <f>SUM(H213)</f>
        <v>100</v>
      </c>
      <c r="I212" s="102">
        <f t="shared" si="8"/>
        <v>100</v>
      </c>
    </row>
    <row r="213" spans="1:9" s="16" customFormat="1" ht="27.75" customHeight="1" outlineLevel="2">
      <c r="A213" s="54" t="s">
        <v>108</v>
      </c>
      <c r="B213" s="79" t="s">
        <v>42</v>
      </c>
      <c r="C213" s="79" t="s">
        <v>76</v>
      </c>
      <c r="D213" s="79" t="s">
        <v>26</v>
      </c>
      <c r="E213" s="81">
        <v>2</v>
      </c>
      <c r="F213" s="80">
        <v>200</v>
      </c>
      <c r="G213" s="102">
        <f>200-100</f>
        <v>100</v>
      </c>
      <c r="H213" s="102">
        <f>200-100</f>
        <v>100</v>
      </c>
      <c r="I213" s="102">
        <f t="shared" si="8"/>
        <v>100</v>
      </c>
    </row>
    <row r="214" spans="1:9" s="16" customFormat="1" ht="24.75" customHeight="1" outlineLevel="2">
      <c r="A214" s="54" t="s">
        <v>255</v>
      </c>
      <c r="B214" s="79" t="s">
        <v>42</v>
      </c>
      <c r="C214" s="79" t="s">
        <v>76</v>
      </c>
      <c r="D214" s="79" t="s">
        <v>26</v>
      </c>
      <c r="E214" s="81">
        <v>3</v>
      </c>
      <c r="F214" s="80"/>
      <c r="G214" s="102">
        <f>SUM(G215:G217)</f>
        <v>50</v>
      </c>
      <c r="H214" s="102">
        <f>SUM(H215:H217)</f>
        <v>50</v>
      </c>
      <c r="I214" s="102">
        <f t="shared" si="8"/>
        <v>100</v>
      </c>
    </row>
    <row r="215" spans="1:9" s="16" customFormat="1" ht="25.5" customHeight="1" outlineLevel="2">
      <c r="A215" s="54" t="s">
        <v>108</v>
      </c>
      <c r="B215" s="79" t="s">
        <v>42</v>
      </c>
      <c r="C215" s="79" t="s">
        <v>76</v>
      </c>
      <c r="D215" s="79" t="s">
        <v>26</v>
      </c>
      <c r="E215" s="81">
        <v>3</v>
      </c>
      <c r="F215" s="80">
        <v>200</v>
      </c>
      <c r="G215" s="102">
        <f>48-18+20</f>
        <v>50</v>
      </c>
      <c r="H215" s="102">
        <f>48-18+20</f>
        <v>50</v>
      </c>
      <c r="I215" s="102">
        <f t="shared" si="8"/>
        <v>100</v>
      </c>
    </row>
    <row r="216" spans="1:9" s="16" customFormat="1" ht="24" outlineLevel="2">
      <c r="A216" s="54" t="s">
        <v>108</v>
      </c>
      <c r="B216" s="79" t="s">
        <v>42</v>
      </c>
      <c r="C216" s="79" t="s">
        <v>76</v>
      </c>
      <c r="D216" s="79" t="s">
        <v>26</v>
      </c>
      <c r="E216" s="81">
        <v>3</v>
      </c>
      <c r="F216" s="80">
        <v>200</v>
      </c>
      <c r="G216" s="102">
        <f>2+8-10</f>
        <v>0</v>
      </c>
      <c r="H216" s="102">
        <f>2+8-10</f>
        <v>0</v>
      </c>
      <c r="I216" s="102">
        <v>0</v>
      </c>
    </row>
    <row r="217" spans="1:9" s="16" customFormat="1" ht="22.5" customHeight="1" outlineLevel="2">
      <c r="A217" s="54" t="s">
        <v>108</v>
      </c>
      <c r="B217" s="79" t="s">
        <v>42</v>
      </c>
      <c r="C217" s="79" t="s">
        <v>76</v>
      </c>
      <c r="D217" s="79" t="s">
        <v>26</v>
      </c>
      <c r="E217" s="81">
        <v>3</v>
      </c>
      <c r="F217" s="80">
        <v>200</v>
      </c>
      <c r="G217" s="102">
        <f>10-10</f>
        <v>0</v>
      </c>
      <c r="H217" s="102">
        <f>10-10</f>
        <v>0</v>
      </c>
      <c r="I217" s="102">
        <v>0</v>
      </c>
    </row>
    <row r="218" spans="1:9" ht="35.25" customHeight="1" outlineLevel="3">
      <c r="A218" s="55" t="s">
        <v>290</v>
      </c>
      <c r="B218" s="79" t="s">
        <v>42</v>
      </c>
      <c r="C218" s="79" t="s">
        <v>76</v>
      </c>
      <c r="D218" s="79" t="s">
        <v>23</v>
      </c>
      <c r="E218" s="81">
        <v>0</v>
      </c>
      <c r="F218" s="80"/>
      <c r="G218" s="102">
        <f>SUM(G219)</f>
        <v>6080.260979999999</v>
      </c>
      <c r="H218" s="102">
        <f>SUM(H219)</f>
        <v>6080.260979999999</v>
      </c>
      <c r="I218" s="102">
        <f t="shared" si="8"/>
        <v>100</v>
      </c>
    </row>
    <row r="219" spans="1:9" ht="22.5" customHeight="1" outlineLevel="2">
      <c r="A219" s="54" t="s">
        <v>168</v>
      </c>
      <c r="B219" s="79" t="s">
        <v>42</v>
      </c>
      <c r="C219" s="79" t="s">
        <v>76</v>
      </c>
      <c r="D219" s="79" t="s">
        <v>23</v>
      </c>
      <c r="E219" s="81">
        <v>0</v>
      </c>
      <c r="F219" s="80">
        <v>600</v>
      </c>
      <c r="G219" s="102">
        <f>3800-700+1589.4+304.35+87+652+143.60258+7.76873+4.64328+85.88254+105.61385</f>
        <v>6080.260979999999</v>
      </c>
      <c r="H219" s="102">
        <f>3800-700+1589.4+304.35+87+652+143.60258+7.76873+4.64328+85.88254+105.61385</f>
        <v>6080.260979999999</v>
      </c>
      <c r="I219" s="102">
        <f t="shared" si="8"/>
        <v>100</v>
      </c>
    </row>
    <row r="220" spans="1:9" ht="12.75" outlineLevel="3">
      <c r="A220" s="55" t="s">
        <v>178</v>
      </c>
      <c r="B220" s="79" t="s">
        <v>42</v>
      </c>
      <c r="C220" s="79" t="s">
        <v>76</v>
      </c>
      <c r="D220" s="79" t="s">
        <v>16</v>
      </c>
      <c r="E220" s="81">
        <v>0</v>
      </c>
      <c r="F220" s="80"/>
      <c r="G220" s="102">
        <f>SUM(G221)</f>
        <v>1500.3</v>
      </c>
      <c r="H220" s="102">
        <f>SUM(H221)</f>
        <v>1500.3</v>
      </c>
      <c r="I220" s="102">
        <f t="shared" si="8"/>
        <v>100</v>
      </c>
    </row>
    <row r="221" spans="1:9" ht="24" outlineLevel="3">
      <c r="A221" s="54" t="s">
        <v>167</v>
      </c>
      <c r="B221" s="79" t="s">
        <v>42</v>
      </c>
      <c r="C221" s="79" t="s">
        <v>76</v>
      </c>
      <c r="D221" s="79" t="s">
        <v>16</v>
      </c>
      <c r="E221" s="81">
        <v>0</v>
      </c>
      <c r="F221" s="80"/>
      <c r="G221" s="102">
        <f>SUM(G222:G223)</f>
        <v>1500.3</v>
      </c>
      <c r="H221" s="102">
        <f>SUM(H222:H223)</f>
        <v>1500.3</v>
      </c>
      <c r="I221" s="102">
        <f t="shared" si="8"/>
        <v>100</v>
      </c>
    </row>
    <row r="222" spans="1:9" ht="36" outlineLevel="1">
      <c r="A222" s="55" t="s">
        <v>179</v>
      </c>
      <c r="B222" s="79" t="s">
        <v>42</v>
      </c>
      <c r="C222" s="79" t="s">
        <v>76</v>
      </c>
      <c r="D222" s="79" t="s">
        <v>16</v>
      </c>
      <c r="E222" s="81">
        <v>0</v>
      </c>
      <c r="F222" s="80">
        <v>600</v>
      </c>
      <c r="G222" s="102">
        <f>1296.3+64.6+67.9</f>
        <v>1428.8</v>
      </c>
      <c r="H222" s="102">
        <f>1296.3+64.6+67.9</f>
        <v>1428.8</v>
      </c>
      <c r="I222" s="102">
        <f t="shared" si="8"/>
        <v>100</v>
      </c>
    </row>
    <row r="223" spans="1:9" ht="15" customHeight="1" outlineLevel="1">
      <c r="A223" s="54" t="s">
        <v>168</v>
      </c>
      <c r="B223" s="79" t="s">
        <v>42</v>
      </c>
      <c r="C223" s="79" t="s">
        <v>76</v>
      </c>
      <c r="D223" s="79" t="s">
        <v>16</v>
      </c>
      <c r="E223" s="81">
        <v>0</v>
      </c>
      <c r="F223" s="80">
        <v>600</v>
      </c>
      <c r="G223" s="102">
        <f>64.89+3.21+3.4</f>
        <v>71.5</v>
      </c>
      <c r="H223" s="102">
        <f>64.89+3.21+3.4</f>
        <v>71.5</v>
      </c>
      <c r="I223" s="102">
        <f t="shared" si="8"/>
        <v>100</v>
      </c>
    </row>
    <row r="224" spans="1:9" ht="18" customHeight="1" outlineLevel="1">
      <c r="A224" s="54" t="s">
        <v>78</v>
      </c>
      <c r="B224" s="79" t="s">
        <v>42</v>
      </c>
      <c r="C224" s="79" t="s">
        <v>79</v>
      </c>
      <c r="D224" s="79"/>
      <c r="E224" s="81"/>
      <c r="F224" s="80"/>
      <c r="G224" s="102">
        <f>SUM(G227+G225)</f>
        <v>1397.08448</v>
      </c>
      <c r="H224" s="102">
        <f>SUM(H227+H225)</f>
        <v>1397.08448</v>
      </c>
      <c r="I224" s="102">
        <f t="shared" si="8"/>
        <v>100</v>
      </c>
    </row>
    <row r="225" spans="1:9" ht="60" outlineLevel="1">
      <c r="A225" s="54" t="s">
        <v>282</v>
      </c>
      <c r="B225" s="79" t="s">
        <v>42</v>
      </c>
      <c r="C225" s="79" t="s">
        <v>79</v>
      </c>
      <c r="D225" s="79" t="s">
        <v>224</v>
      </c>
      <c r="E225" s="81">
        <v>0</v>
      </c>
      <c r="F225" s="82"/>
      <c r="G225" s="102">
        <f>SUM(G226)</f>
        <v>20</v>
      </c>
      <c r="H225" s="102">
        <f>SUM(H226)</f>
        <v>20</v>
      </c>
      <c r="I225" s="102">
        <f t="shared" si="8"/>
        <v>100</v>
      </c>
    </row>
    <row r="226" spans="1:9" ht="21" customHeight="1" outlineLevel="1">
      <c r="A226" s="54" t="s">
        <v>169</v>
      </c>
      <c r="B226" s="79" t="s">
        <v>42</v>
      </c>
      <c r="C226" s="79" t="s">
        <v>79</v>
      </c>
      <c r="D226" s="79" t="s">
        <v>224</v>
      </c>
      <c r="E226" s="81">
        <v>0</v>
      </c>
      <c r="F226" s="82">
        <v>300</v>
      </c>
      <c r="G226" s="102">
        <f>20</f>
        <v>20</v>
      </c>
      <c r="H226" s="102">
        <f>20</f>
        <v>20</v>
      </c>
      <c r="I226" s="102">
        <f t="shared" si="8"/>
        <v>100</v>
      </c>
    </row>
    <row r="227" spans="1:9" ht="36" outlineLevel="1">
      <c r="A227" s="55" t="s">
        <v>298</v>
      </c>
      <c r="B227" s="79" t="s">
        <v>42</v>
      </c>
      <c r="C227" s="79" t="s">
        <v>79</v>
      </c>
      <c r="D227" s="79" t="s">
        <v>24</v>
      </c>
      <c r="E227" s="81">
        <v>0</v>
      </c>
      <c r="F227" s="80"/>
      <c r="G227" s="102">
        <f>SUM(G228:G230)</f>
        <v>1377.08448</v>
      </c>
      <c r="H227" s="102">
        <f>SUM(H228:H230)</f>
        <v>1377.08448</v>
      </c>
      <c r="I227" s="102">
        <f t="shared" si="8"/>
        <v>100</v>
      </c>
    </row>
    <row r="228" spans="1:9" ht="23.25" customHeight="1" outlineLevel="1">
      <c r="A228" s="54" t="s">
        <v>107</v>
      </c>
      <c r="B228" s="79" t="s">
        <v>42</v>
      </c>
      <c r="C228" s="79" t="s">
        <v>79</v>
      </c>
      <c r="D228" s="79" t="s">
        <v>24</v>
      </c>
      <c r="E228" s="81">
        <v>0</v>
      </c>
      <c r="F228" s="80">
        <v>100</v>
      </c>
      <c r="G228" s="102">
        <f>600-30+575+97.46495+61.91975+18.69978</f>
        <v>1323.08448</v>
      </c>
      <c r="H228" s="102">
        <f>600-30+575+97.46495+61.91975+18.69978</f>
        <v>1323.08448</v>
      </c>
      <c r="I228" s="102">
        <f t="shared" si="8"/>
        <v>100</v>
      </c>
    </row>
    <row r="229" spans="1:9" ht="24" outlineLevel="1">
      <c r="A229" s="54" t="s">
        <v>108</v>
      </c>
      <c r="B229" s="79" t="s">
        <v>42</v>
      </c>
      <c r="C229" s="79" t="s">
        <v>79</v>
      </c>
      <c r="D229" s="79" t="s">
        <v>24</v>
      </c>
      <c r="E229" s="81">
        <v>0</v>
      </c>
      <c r="F229" s="80">
        <v>200</v>
      </c>
      <c r="G229" s="102">
        <f>24.8+30-0.8</f>
        <v>54</v>
      </c>
      <c r="H229" s="102">
        <f>24.8+30-0.8</f>
        <v>54</v>
      </c>
      <c r="I229" s="102">
        <f t="shared" si="8"/>
        <v>100</v>
      </c>
    </row>
    <row r="230" spans="1:9" ht="15.75" customHeight="1" outlineLevel="1">
      <c r="A230" s="54" t="s">
        <v>155</v>
      </c>
      <c r="B230" s="79" t="s">
        <v>42</v>
      </c>
      <c r="C230" s="79" t="s">
        <v>79</v>
      </c>
      <c r="D230" s="79" t="s">
        <v>24</v>
      </c>
      <c r="E230" s="81">
        <v>0</v>
      </c>
      <c r="F230" s="80">
        <v>800</v>
      </c>
      <c r="G230" s="102">
        <f>0.2-0.2</f>
        <v>0</v>
      </c>
      <c r="H230" s="102">
        <f>0.2-0.2</f>
        <v>0</v>
      </c>
      <c r="I230" s="102">
        <v>0</v>
      </c>
    </row>
    <row r="231" spans="1:9" ht="12.75" outlineLevel="1">
      <c r="A231" s="54" t="s">
        <v>80</v>
      </c>
      <c r="B231" s="79" t="s">
        <v>42</v>
      </c>
      <c r="C231" s="79" t="s">
        <v>122</v>
      </c>
      <c r="D231" s="79"/>
      <c r="E231" s="81"/>
      <c r="F231" s="80"/>
      <c r="G231" s="102">
        <f>SUM(G232+G256+G258)</f>
        <v>16537.8</v>
      </c>
      <c r="H231" s="102">
        <f>SUM(H232+H256+H258)</f>
        <v>16464.506729999997</v>
      </c>
      <c r="I231" s="102">
        <f t="shared" si="8"/>
        <v>99.5568136632442</v>
      </c>
    </row>
    <row r="232" spans="1:9" ht="12.75" outlineLevel="1">
      <c r="A232" s="54" t="s">
        <v>123</v>
      </c>
      <c r="B232" s="79" t="s">
        <v>42</v>
      </c>
      <c r="C232" s="79" t="s">
        <v>86</v>
      </c>
      <c r="D232" s="79"/>
      <c r="E232" s="81"/>
      <c r="F232" s="80"/>
      <c r="G232" s="102">
        <f>SUM(G233+G238+G243+G245+G250+G252+G254+G247)</f>
        <v>14809.15375</v>
      </c>
      <c r="H232" s="102">
        <f>SUM(H233+H238+H243+H245+H250+H252+H254+H247)</f>
        <v>14735.860479999998</v>
      </c>
      <c r="I232" s="102">
        <f t="shared" si="8"/>
        <v>99.50508130824151</v>
      </c>
    </row>
    <row r="233" spans="1:9" ht="36" outlineLevel="1">
      <c r="A233" s="54" t="s">
        <v>276</v>
      </c>
      <c r="B233" s="79" t="s">
        <v>42</v>
      </c>
      <c r="C233" s="79" t="s">
        <v>86</v>
      </c>
      <c r="D233" s="79" t="s">
        <v>6</v>
      </c>
      <c r="E233" s="81">
        <v>0</v>
      </c>
      <c r="F233" s="80"/>
      <c r="G233" s="102">
        <f>SUM(G234+G236)</f>
        <v>616.47</v>
      </c>
      <c r="H233" s="102">
        <f>SUM(H234+H236)</f>
        <v>616.47</v>
      </c>
      <c r="I233" s="102">
        <f t="shared" si="8"/>
        <v>100</v>
      </c>
    </row>
    <row r="234" spans="1:9" ht="24" outlineLevel="1">
      <c r="A234" s="54" t="s">
        <v>222</v>
      </c>
      <c r="B234" s="79" t="s">
        <v>42</v>
      </c>
      <c r="C234" s="79" t="s">
        <v>86</v>
      </c>
      <c r="D234" s="79" t="s">
        <v>6</v>
      </c>
      <c r="E234" s="81">
        <v>3</v>
      </c>
      <c r="F234" s="80"/>
      <c r="G234" s="102">
        <f>SUM(G235:G235)</f>
        <v>498.46999999999997</v>
      </c>
      <c r="H234" s="102">
        <f>SUM(H235:H235)</f>
        <v>498.46999999999997</v>
      </c>
      <c r="I234" s="102">
        <f t="shared" si="8"/>
        <v>100</v>
      </c>
    </row>
    <row r="235" spans="1:9" ht="24" outlineLevel="1">
      <c r="A235" s="54" t="s">
        <v>168</v>
      </c>
      <c r="B235" s="79" t="s">
        <v>42</v>
      </c>
      <c r="C235" s="79" t="s">
        <v>86</v>
      </c>
      <c r="D235" s="79" t="s">
        <v>6</v>
      </c>
      <c r="E235" s="81">
        <v>3</v>
      </c>
      <c r="F235" s="80">
        <v>600</v>
      </c>
      <c r="G235" s="102">
        <f>499.234-0.764</f>
        <v>498.46999999999997</v>
      </c>
      <c r="H235" s="102">
        <f>499.234-0.764</f>
        <v>498.46999999999997</v>
      </c>
      <c r="I235" s="102">
        <f t="shared" si="8"/>
        <v>100</v>
      </c>
    </row>
    <row r="236" spans="1:9" ht="28.5" customHeight="1" outlineLevel="1">
      <c r="A236" s="54" t="s">
        <v>203</v>
      </c>
      <c r="B236" s="79" t="s">
        <v>42</v>
      </c>
      <c r="C236" s="79" t="s">
        <v>86</v>
      </c>
      <c r="D236" s="79" t="s">
        <v>6</v>
      </c>
      <c r="E236" s="81">
        <v>4</v>
      </c>
      <c r="F236" s="80"/>
      <c r="G236" s="102">
        <f>SUM(G237:G237)</f>
        <v>118</v>
      </c>
      <c r="H236" s="102">
        <f>SUM(H237:H237)</f>
        <v>118</v>
      </c>
      <c r="I236" s="102">
        <f t="shared" si="8"/>
        <v>100</v>
      </c>
    </row>
    <row r="237" spans="1:9" ht="26.25" customHeight="1" outlineLevel="1">
      <c r="A237" s="54" t="s">
        <v>168</v>
      </c>
      <c r="B237" s="79" t="s">
        <v>42</v>
      </c>
      <c r="C237" s="79" t="s">
        <v>86</v>
      </c>
      <c r="D237" s="79" t="s">
        <v>6</v>
      </c>
      <c r="E237" s="81">
        <v>4</v>
      </c>
      <c r="F237" s="80">
        <v>600</v>
      </c>
      <c r="G237" s="102">
        <f>118</f>
        <v>118</v>
      </c>
      <c r="H237" s="102">
        <f>118</f>
        <v>118</v>
      </c>
      <c r="I237" s="102">
        <f t="shared" si="8"/>
        <v>100</v>
      </c>
    </row>
    <row r="238" spans="1:9" ht="1.5" customHeight="1" hidden="1" outlineLevel="1" collapsed="1">
      <c r="A238" s="54" t="s">
        <v>270</v>
      </c>
      <c r="B238" s="79" t="s">
        <v>42</v>
      </c>
      <c r="C238" s="79" t="s">
        <v>86</v>
      </c>
      <c r="D238" s="79" t="s">
        <v>240</v>
      </c>
      <c r="E238" s="81">
        <v>0</v>
      </c>
      <c r="F238" s="82"/>
      <c r="G238" s="102">
        <f>SUM(G239:G242)</f>
        <v>0</v>
      </c>
      <c r="H238" s="102">
        <f>SUM(H239:H242)</f>
        <v>0</v>
      </c>
      <c r="I238" s="102" t="e">
        <f t="shared" si="8"/>
        <v>#DIV/0!</v>
      </c>
    </row>
    <row r="239" spans="1:9" ht="4.5" customHeight="1" hidden="1" outlineLevel="5">
      <c r="A239" s="54" t="s">
        <v>168</v>
      </c>
      <c r="B239" s="79" t="s">
        <v>42</v>
      </c>
      <c r="C239" s="79" t="s">
        <v>86</v>
      </c>
      <c r="D239" s="79" t="s">
        <v>240</v>
      </c>
      <c r="E239" s="81">
        <v>0</v>
      </c>
      <c r="F239" s="82">
        <v>600</v>
      </c>
      <c r="G239" s="102">
        <v>0</v>
      </c>
      <c r="H239" s="102">
        <v>0</v>
      </c>
      <c r="I239" s="102" t="e">
        <f t="shared" si="8"/>
        <v>#DIV/0!</v>
      </c>
    </row>
    <row r="240" spans="1:9" ht="4.5" customHeight="1" hidden="1" outlineLevel="3">
      <c r="A240" s="54" t="s">
        <v>170</v>
      </c>
      <c r="B240" s="79" t="s">
        <v>42</v>
      </c>
      <c r="C240" s="79" t="s">
        <v>86</v>
      </c>
      <c r="D240" s="79" t="s">
        <v>240</v>
      </c>
      <c r="E240" s="81">
        <v>0</v>
      </c>
      <c r="F240" s="82">
        <v>500</v>
      </c>
      <c r="G240" s="102">
        <v>0</v>
      </c>
      <c r="H240" s="102">
        <v>0</v>
      </c>
      <c r="I240" s="102" t="e">
        <f t="shared" si="8"/>
        <v>#DIV/0!</v>
      </c>
    </row>
    <row r="241" spans="1:9" ht="4.5" customHeight="1" hidden="1" outlineLevel="2">
      <c r="A241" s="54" t="s">
        <v>239</v>
      </c>
      <c r="B241" s="79" t="s">
        <v>42</v>
      </c>
      <c r="C241" s="79" t="s">
        <v>86</v>
      </c>
      <c r="D241" s="79" t="s">
        <v>240</v>
      </c>
      <c r="E241" s="81">
        <v>0</v>
      </c>
      <c r="F241" s="82">
        <v>600</v>
      </c>
      <c r="G241" s="102">
        <v>0</v>
      </c>
      <c r="H241" s="102">
        <v>0</v>
      </c>
      <c r="I241" s="102" t="e">
        <f t="shared" si="8"/>
        <v>#DIV/0!</v>
      </c>
    </row>
    <row r="242" spans="1:9" ht="4.5" customHeight="1" hidden="1" outlineLevel="5">
      <c r="A242" s="54" t="s">
        <v>170</v>
      </c>
      <c r="B242" s="79" t="s">
        <v>42</v>
      </c>
      <c r="C242" s="79" t="s">
        <v>86</v>
      </c>
      <c r="D242" s="79" t="s">
        <v>240</v>
      </c>
      <c r="E242" s="81">
        <v>0</v>
      </c>
      <c r="F242" s="82">
        <v>500</v>
      </c>
      <c r="G242" s="102">
        <v>0</v>
      </c>
      <c r="H242" s="102">
        <v>0</v>
      </c>
      <c r="I242" s="102" t="e">
        <f t="shared" si="8"/>
        <v>#DIV/0!</v>
      </c>
    </row>
    <row r="243" spans="1:9" ht="25.5" customHeight="1" outlineLevel="1">
      <c r="A243" s="54" t="s">
        <v>296</v>
      </c>
      <c r="B243" s="79" t="s">
        <v>42</v>
      </c>
      <c r="C243" s="79" t="s">
        <v>86</v>
      </c>
      <c r="D243" s="79" t="s">
        <v>5</v>
      </c>
      <c r="E243" s="81">
        <v>0</v>
      </c>
      <c r="F243" s="82"/>
      <c r="G243" s="102">
        <f>SUM(G244)</f>
        <v>50</v>
      </c>
      <c r="H243" s="102">
        <f>SUM(H244)</f>
        <v>50</v>
      </c>
      <c r="I243" s="102">
        <f t="shared" si="8"/>
        <v>100</v>
      </c>
    </row>
    <row r="244" spans="1:9" ht="24" outlineLevel="2">
      <c r="A244" s="54" t="s">
        <v>168</v>
      </c>
      <c r="B244" s="79" t="s">
        <v>42</v>
      </c>
      <c r="C244" s="79" t="s">
        <v>86</v>
      </c>
      <c r="D244" s="79" t="s">
        <v>5</v>
      </c>
      <c r="E244" s="81">
        <v>0</v>
      </c>
      <c r="F244" s="82">
        <v>600</v>
      </c>
      <c r="G244" s="102">
        <f>50</f>
        <v>50</v>
      </c>
      <c r="H244" s="102">
        <f>50</f>
        <v>50</v>
      </c>
      <c r="I244" s="102">
        <f t="shared" si="8"/>
        <v>100</v>
      </c>
    </row>
    <row r="245" spans="1:9" ht="24.75" customHeight="1" outlineLevel="5">
      <c r="A245" s="55" t="s">
        <v>279</v>
      </c>
      <c r="B245" s="79" t="s">
        <v>42</v>
      </c>
      <c r="C245" s="79" t="s">
        <v>86</v>
      </c>
      <c r="D245" s="79" t="s">
        <v>4</v>
      </c>
      <c r="E245" s="81">
        <v>0</v>
      </c>
      <c r="F245" s="82"/>
      <c r="G245" s="102">
        <f>SUM(G246)</f>
        <v>100</v>
      </c>
      <c r="H245" s="102">
        <f>SUM(H246)</f>
        <v>100</v>
      </c>
      <c r="I245" s="102">
        <f t="shared" si="8"/>
        <v>100</v>
      </c>
    </row>
    <row r="246" spans="1:9" ht="24" outlineLevel="3">
      <c r="A246" s="54" t="s">
        <v>168</v>
      </c>
      <c r="B246" s="79" t="s">
        <v>42</v>
      </c>
      <c r="C246" s="79" t="s">
        <v>86</v>
      </c>
      <c r="D246" s="79" t="s">
        <v>4</v>
      </c>
      <c r="E246" s="81">
        <v>0</v>
      </c>
      <c r="F246" s="82">
        <v>600</v>
      </c>
      <c r="G246" s="102">
        <f>100</f>
        <v>100</v>
      </c>
      <c r="H246" s="102">
        <f>100</f>
        <v>100</v>
      </c>
      <c r="I246" s="102">
        <f t="shared" si="8"/>
        <v>100</v>
      </c>
    </row>
    <row r="247" spans="1:9" ht="24" outlineLevel="3">
      <c r="A247" s="54" t="s">
        <v>167</v>
      </c>
      <c r="B247" s="79" t="s">
        <v>42</v>
      </c>
      <c r="C247" s="79" t="s">
        <v>86</v>
      </c>
      <c r="D247" s="79" t="s">
        <v>16</v>
      </c>
      <c r="E247" s="81">
        <v>0</v>
      </c>
      <c r="F247" s="80"/>
      <c r="G247" s="102">
        <f>SUM(G248)</f>
        <v>10</v>
      </c>
      <c r="H247" s="102">
        <f>SUM(H248)</f>
        <v>10</v>
      </c>
      <c r="I247" s="102">
        <f t="shared" si="8"/>
        <v>100</v>
      </c>
    </row>
    <row r="248" spans="1:9" ht="24" outlineLevel="3">
      <c r="A248" s="54" t="s">
        <v>108</v>
      </c>
      <c r="B248" s="79" t="s">
        <v>42</v>
      </c>
      <c r="C248" s="79" t="s">
        <v>86</v>
      </c>
      <c r="D248" s="79" t="s">
        <v>16</v>
      </c>
      <c r="E248" s="81">
        <v>0</v>
      </c>
      <c r="F248" s="80">
        <v>200</v>
      </c>
      <c r="G248" s="102">
        <f>8+2</f>
        <v>10</v>
      </c>
      <c r="H248" s="102">
        <f>8+2</f>
        <v>10</v>
      </c>
      <c r="I248" s="102">
        <f t="shared" si="8"/>
        <v>100</v>
      </c>
    </row>
    <row r="249" spans="1:9" ht="27.75" customHeight="1" outlineLevel="3">
      <c r="A249" s="55" t="s">
        <v>291</v>
      </c>
      <c r="B249" s="79" t="s">
        <v>42</v>
      </c>
      <c r="C249" s="79" t="s">
        <v>122</v>
      </c>
      <c r="D249" s="79" t="s">
        <v>25</v>
      </c>
      <c r="E249" s="81">
        <v>0</v>
      </c>
      <c r="F249" s="80"/>
      <c r="G249" s="102">
        <f>SUM(G250+G252+G254+G256+G258)</f>
        <v>15761.33</v>
      </c>
      <c r="H249" s="102">
        <f>SUM(H250+H252+H254+H256+H258)</f>
        <v>15688.036729999998</v>
      </c>
      <c r="I249" s="102">
        <f t="shared" si="8"/>
        <v>99.53498042360637</v>
      </c>
    </row>
    <row r="250" spans="1:9" ht="12.75" outlineLevel="3">
      <c r="A250" s="55" t="s">
        <v>81</v>
      </c>
      <c r="B250" s="79" t="s">
        <v>42</v>
      </c>
      <c r="C250" s="79" t="s">
        <v>86</v>
      </c>
      <c r="D250" s="79" t="s">
        <v>25</v>
      </c>
      <c r="E250" s="81">
        <v>0</v>
      </c>
      <c r="F250" s="80"/>
      <c r="G250" s="102">
        <f>SUM(G251:G251)</f>
        <v>11311.880070000001</v>
      </c>
      <c r="H250" s="102">
        <f>SUM(H251:H251)</f>
        <v>11238.5868</v>
      </c>
      <c r="I250" s="102">
        <f t="shared" si="8"/>
        <v>99.3520681836578</v>
      </c>
    </row>
    <row r="251" spans="1:9" ht="27" customHeight="1" outlineLevel="3">
      <c r="A251" s="54" t="s">
        <v>168</v>
      </c>
      <c r="B251" s="79" t="s">
        <v>42</v>
      </c>
      <c r="C251" s="79" t="s">
        <v>86</v>
      </c>
      <c r="D251" s="79" t="s">
        <v>25</v>
      </c>
      <c r="E251" s="81">
        <v>0</v>
      </c>
      <c r="F251" s="80">
        <v>600</v>
      </c>
      <c r="G251" s="102">
        <f>8300-1086+4218-300-14.98139+4.0146-0.00414+151.851+39</f>
        <v>11311.880070000001</v>
      </c>
      <c r="H251" s="102">
        <v>11238.5868</v>
      </c>
      <c r="I251" s="102">
        <f t="shared" si="8"/>
        <v>99.3520681836578</v>
      </c>
    </row>
    <row r="252" spans="1:9" ht="16.5" customHeight="1" outlineLevel="5">
      <c r="A252" s="55" t="s">
        <v>82</v>
      </c>
      <c r="B252" s="79" t="s">
        <v>42</v>
      </c>
      <c r="C252" s="79" t="s">
        <v>86</v>
      </c>
      <c r="D252" s="79" t="s">
        <v>25</v>
      </c>
      <c r="E252" s="81">
        <v>0</v>
      </c>
      <c r="F252" s="82"/>
      <c r="G252" s="102">
        <f>SUM(G253)</f>
        <v>1388.45926</v>
      </c>
      <c r="H252" s="102">
        <f>SUM(H253)</f>
        <v>1388.45926</v>
      </c>
      <c r="I252" s="102">
        <f t="shared" si="8"/>
        <v>100</v>
      </c>
    </row>
    <row r="253" spans="1:9" ht="27" customHeight="1" outlineLevel="5">
      <c r="A253" s="54" t="s">
        <v>168</v>
      </c>
      <c r="B253" s="79" t="s">
        <v>42</v>
      </c>
      <c r="C253" s="79" t="s">
        <v>86</v>
      </c>
      <c r="D253" s="79" t="s">
        <v>25</v>
      </c>
      <c r="E253" s="81">
        <v>0</v>
      </c>
      <c r="F253" s="82">
        <v>600</v>
      </c>
      <c r="G253" s="102">
        <f>922-60+150+300+27.61402-8.63376+57.479</f>
        <v>1388.45926</v>
      </c>
      <c r="H253" s="102">
        <f>922-60+150+300+27.61402-8.63376+57.479</f>
        <v>1388.45926</v>
      </c>
      <c r="I253" s="102">
        <f t="shared" si="8"/>
        <v>100</v>
      </c>
    </row>
    <row r="254" spans="1:9" ht="12.75" outlineLevel="5">
      <c r="A254" s="55" t="s">
        <v>83</v>
      </c>
      <c r="B254" s="79" t="s">
        <v>42</v>
      </c>
      <c r="C254" s="79" t="s">
        <v>86</v>
      </c>
      <c r="D254" s="79" t="s">
        <v>25</v>
      </c>
      <c r="E254" s="81">
        <v>0</v>
      </c>
      <c r="F254" s="82"/>
      <c r="G254" s="102">
        <f>SUM(G255:G255)</f>
        <v>1332.34442</v>
      </c>
      <c r="H254" s="102">
        <f>SUM(H255:H255)</f>
        <v>1332.34442</v>
      </c>
      <c r="I254" s="102">
        <f t="shared" si="8"/>
        <v>100</v>
      </c>
    </row>
    <row r="255" spans="1:9" ht="24" outlineLevel="5">
      <c r="A255" s="54" t="s">
        <v>168</v>
      </c>
      <c r="B255" s="79" t="s">
        <v>42</v>
      </c>
      <c r="C255" s="79" t="s">
        <v>86</v>
      </c>
      <c r="D255" s="79" t="s">
        <v>25</v>
      </c>
      <c r="E255" s="81">
        <v>0</v>
      </c>
      <c r="F255" s="82">
        <v>600</v>
      </c>
      <c r="G255" s="102">
        <f>1278-209+301-42.27888+4.61916+0.00414</f>
        <v>1332.34442</v>
      </c>
      <c r="H255" s="102">
        <f>1278-209+301-42.27888+4.61916+0.00414</f>
        <v>1332.34442</v>
      </c>
      <c r="I255" s="102">
        <f t="shared" si="8"/>
        <v>100</v>
      </c>
    </row>
    <row r="256" spans="1:9" ht="12.75" outlineLevel="5">
      <c r="A256" s="55" t="s">
        <v>84</v>
      </c>
      <c r="B256" s="79" t="s">
        <v>42</v>
      </c>
      <c r="C256" s="79" t="s">
        <v>87</v>
      </c>
      <c r="D256" s="79" t="s">
        <v>25</v>
      </c>
      <c r="E256" s="81">
        <v>0</v>
      </c>
      <c r="F256" s="82"/>
      <c r="G256" s="102">
        <f>SUM(G257)</f>
        <v>261.07547</v>
      </c>
      <c r="H256" s="102">
        <f>SUM(H257)</f>
        <v>261.07547</v>
      </c>
      <c r="I256" s="102">
        <f t="shared" si="8"/>
        <v>100</v>
      </c>
    </row>
    <row r="257" spans="1:9" ht="24" outlineLevel="5">
      <c r="A257" s="54" t="s">
        <v>168</v>
      </c>
      <c r="B257" s="79" t="s">
        <v>42</v>
      </c>
      <c r="C257" s="79" t="s">
        <v>87</v>
      </c>
      <c r="D257" s="79" t="s">
        <v>25</v>
      </c>
      <c r="E257" s="81">
        <v>0</v>
      </c>
      <c r="F257" s="82">
        <v>600</v>
      </c>
      <c r="G257" s="102">
        <f>400-91-47.92453</f>
        <v>261.07547</v>
      </c>
      <c r="H257" s="102">
        <f>400-91-47.92453</f>
        <v>261.07547</v>
      </c>
      <c r="I257" s="102">
        <f t="shared" si="8"/>
        <v>100</v>
      </c>
    </row>
    <row r="258" spans="1:9" ht="12.75" outlineLevel="5">
      <c r="A258" s="55" t="s">
        <v>85</v>
      </c>
      <c r="B258" s="79" t="s">
        <v>42</v>
      </c>
      <c r="C258" s="79" t="s">
        <v>88</v>
      </c>
      <c r="D258" s="79" t="s">
        <v>25</v>
      </c>
      <c r="E258" s="81">
        <v>0</v>
      </c>
      <c r="F258" s="82"/>
      <c r="G258" s="102">
        <f>SUM(G259)</f>
        <v>1467.57078</v>
      </c>
      <c r="H258" s="102">
        <f>SUM(H259)</f>
        <v>1467.57078</v>
      </c>
      <c r="I258" s="102">
        <f t="shared" si="8"/>
        <v>100</v>
      </c>
    </row>
    <row r="259" spans="1:9" ht="25.5" customHeight="1" outlineLevel="5">
      <c r="A259" s="54" t="s">
        <v>168</v>
      </c>
      <c r="B259" s="79" t="s">
        <v>42</v>
      </c>
      <c r="C259" s="79" t="s">
        <v>88</v>
      </c>
      <c r="D259" s="79" t="s">
        <v>25</v>
      </c>
      <c r="E259" s="81">
        <v>0</v>
      </c>
      <c r="F259" s="82">
        <v>600</v>
      </c>
      <c r="G259" s="102">
        <f>1000-154+544+77.57078</f>
        <v>1467.57078</v>
      </c>
      <c r="H259" s="102">
        <f>1000-154+544+77.57078</f>
        <v>1467.57078</v>
      </c>
      <c r="I259" s="102">
        <f t="shared" si="8"/>
        <v>100</v>
      </c>
    </row>
    <row r="260" spans="1:9" ht="12.75" outlineLevel="5">
      <c r="A260" s="54" t="s">
        <v>231</v>
      </c>
      <c r="B260" s="79" t="s">
        <v>42</v>
      </c>
      <c r="C260" s="79" t="s">
        <v>232</v>
      </c>
      <c r="D260" s="79"/>
      <c r="E260" s="81"/>
      <c r="F260" s="82"/>
      <c r="G260" s="102">
        <f>SUM(G261)</f>
        <v>29.06601999999998</v>
      </c>
      <c r="H260" s="102">
        <f>SUM(H261)</f>
        <v>29.06601999999998</v>
      </c>
      <c r="I260" s="102">
        <f t="shared" si="8"/>
        <v>100</v>
      </c>
    </row>
    <row r="261" spans="1:9" ht="12.75" customHeight="1" outlineLevel="5">
      <c r="A261" s="54" t="s">
        <v>233</v>
      </c>
      <c r="B261" s="79" t="s">
        <v>42</v>
      </c>
      <c r="C261" s="79" t="s">
        <v>234</v>
      </c>
      <c r="D261" s="79"/>
      <c r="E261" s="81"/>
      <c r="F261" s="82"/>
      <c r="G261" s="102">
        <f>SUM(G264)</f>
        <v>29.06601999999998</v>
      </c>
      <c r="H261" s="102">
        <f>SUM(H264)</f>
        <v>29.06601999999998</v>
      </c>
      <c r="I261" s="102">
        <f t="shared" si="8"/>
        <v>100</v>
      </c>
    </row>
    <row r="262" spans="1:9" ht="33" customHeight="1" outlineLevel="5">
      <c r="A262" s="54" t="s">
        <v>295</v>
      </c>
      <c r="B262" s="79" t="s">
        <v>42</v>
      </c>
      <c r="C262" s="79" t="s">
        <v>234</v>
      </c>
      <c r="D262" s="79" t="s">
        <v>6</v>
      </c>
      <c r="E262" s="81">
        <v>0</v>
      </c>
      <c r="F262" s="82"/>
      <c r="G262" s="102">
        <f>SUM(G263)</f>
        <v>29.06601999999998</v>
      </c>
      <c r="H262" s="102">
        <f>SUM(H263)</f>
        <v>29.06601999999998</v>
      </c>
      <c r="I262" s="102">
        <f t="shared" si="8"/>
        <v>100</v>
      </c>
    </row>
    <row r="263" spans="1:9" ht="37.5" customHeight="1" outlineLevel="5">
      <c r="A263" s="54" t="s">
        <v>221</v>
      </c>
      <c r="B263" s="79" t="s">
        <v>42</v>
      </c>
      <c r="C263" s="79" t="s">
        <v>234</v>
      </c>
      <c r="D263" s="79" t="s">
        <v>6</v>
      </c>
      <c r="E263" s="81">
        <v>3</v>
      </c>
      <c r="F263" s="80"/>
      <c r="G263" s="102">
        <f>SUM(G264:G264)</f>
        <v>29.06601999999998</v>
      </c>
      <c r="H263" s="102">
        <f>SUM(H264:H264)</f>
        <v>29.06601999999998</v>
      </c>
      <c r="I263" s="102">
        <f t="shared" si="8"/>
        <v>100</v>
      </c>
    </row>
    <row r="264" spans="1:9" ht="27.75" customHeight="1" outlineLevel="5">
      <c r="A264" s="54" t="s">
        <v>173</v>
      </c>
      <c r="B264" s="79" t="s">
        <v>42</v>
      </c>
      <c r="C264" s="79" t="s">
        <v>234</v>
      </c>
      <c r="D264" s="79" t="s">
        <v>6</v>
      </c>
      <c r="E264" s="81">
        <v>3</v>
      </c>
      <c r="F264" s="80">
        <v>400</v>
      </c>
      <c r="G264" s="102">
        <f>560-13.63464-18.4396-40-458.85974</f>
        <v>29.06601999999998</v>
      </c>
      <c r="H264" s="102">
        <f>560-13.63464-18.4396-40-458.85974</f>
        <v>29.06601999999998</v>
      </c>
      <c r="I264" s="102">
        <f t="shared" si="8"/>
        <v>100</v>
      </c>
    </row>
    <row r="265" spans="1:9" ht="12.75" customHeight="1" outlineLevel="5">
      <c r="A265" s="54" t="s">
        <v>89</v>
      </c>
      <c r="B265" s="79" t="s">
        <v>42</v>
      </c>
      <c r="C265" s="79" t="s">
        <v>180</v>
      </c>
      <c r="D265" s="79"/>
      <c r="E265" s="81"/>
      <c r="F265" s="80"/>
      <c r="G265" s="102">
        <f>SUM(G266+G269+G281+G291)</f>
        <v>27131.208210000004</v>
      </c>
      <c r="H265" s="102">
        <f>SUM(H266+H269+H281+H291)</f>
        <v>25413.197669999998</v>
      </c>
      <c r="I265" s="102">
        <f t="shared" si="8"/>
        <v>93.66776987334171</v>
      </c>
    </row>
    <row r="266" spans="1:9" ht="26.25" customHeight="1" outlineLevel="5">
      <c r="A266" s="54" t="s">
        <v>91</v>
      </c>
      <c r="B266" s="79" t="s">
        <v>42</v>
      </c>
      <c r="C266" s="79" t="s">
        <v>92</v>
      </c>
      <c r="D266" s="79"/>
      <c r="E266" s="81"/>
      <c r="F266" s="80"/>
      <c r="G266" s="102">
        <f>SUM(G267)</f>
        <v>3940.23421</v>
      </c>
      <c r="H266" s="102">
        <f>SUM(H267)</f>
        <v>3940.23421</v>
      </c>
      <c r="I266" s="102">
        <f aca="true" t="shared" si="9" ref="I266:I313">SUM(H266/G266)*100</f>
        <v>100</v>
      </c>
    </row>
    <row r="267" spans="1:9" ht="24" customHeight="1" outlineLevel="5">
      <c r="A267" s="54" t="s">
        <v>167</v>
      </c>
      <c r="B267" s="79" t="s">
        <v>42</v>
      </c>
      <c r="C267" s="79" t="s">
        <v>92</v>
      </c>
      <c r="D267" s="79" t="s">
        <v>16</v>
      </c>
      <c r="E267" s="81">
        <v>0</v>
      </c>
      <c r="F267" s="80"/>
      <c r="G267" s="102">
        <f>SUM(G268)</f>
        <v>3940.23421</v>
      </c>
      <c r="H267" s="102">
        <f>SUM(H268)</f>
        <v>3940.23421</v>
      </c>
      <c r="I267" s="102">
        <f t="shared" si="9"/>
        <v>100</v>
      </c>
    </row>
    <row r="268" spans="1:9" ht="12.75" outlineLevel="5">
      <c r="A268" s="54" t="s">
        <v>169</v>
      </c>
      <c r="B268" s="79" t="s">
        <v>42</v>
      </c>
      <c r="C268" s="79" t="s">
        <v>92</v>
      </c>
      <c r="D268" s="79" t="s">
        <v>16</v>
      </c>
      <c r="E268" s="81">
        <v>0</v>
      </c>
      <c r="F268" s="80">
        <v>300</v>
      </c>
      <c r="G268" s="102">
        <f>2000+1200+400+20.914+319.32021</f>
        <v>3940.23421</v>
      </c>
      <c r="H268" s="102">
        <f>2000+1200+400+20.914+319.32021</f>
        <v>3940.23421</v>
      </c>
      <c r="I268" s="102">
        <f t="shared" si="9"/>
        <v>100</v>
      </c>
    </row>
    <row r="269" spans="1:9" ht="18.75" customHeight="1" outlineLevel="5">
      <c r="A269" s="54" t="s">
        <v>93</v>
      </c>
      <c r="B269" s="79" t="s">
        <v>42</v>
      </c>
      <c r="C269" s="79" t="s">
        <v>95</v>
      </c>
      <c r="D269" s="79"/>
      <c r="E269" s="81"/>
      <c r="F269" s="80"/>
      <c r="G269" s="102">
        <f>SUM(G270+G272)</f>
        <v>14543.033000000001</v>
      </c>
      <c r="H269" s="102">
        <f>SUM(H270+H272)</f>
        <v>13571.885409999997</v>
      </c>
      <c r="I269" s="102">
        <f t="shared" si="9"/>
        <v>93.32224859834943</v>
      </c>
    </row>
    <row r="270" spans="1:9" ht="58.5" customHeight="1" outlineLevel="5">
      <c r="A270" s="54" t="s">
        <v>299</v>
      </c>
      <c r="B270" s="79" t="s">
        <v>42</v>
      </c>
      <c r="C270" s="79" t="s">
        <v>95</v>
      </c>
      <c r="D270" s="79" t="s">
        <v>7</v>
      </c>
      <c r="E270" s="81">
        <v>0</v>
      </c>
      <c r="F270" s="80"/>
      <c r="G270" s="102">
        <f>SUM(G271)</f>
        <v>564.043</v>
      </c>
      <c r="H270" s="102">
        <f>SUM(H271)</f>
        <v>564.043</v>
      </c>
      <c r="I270" s="102">
        <f t="shared" si="9"/>
        <v>100</v>
      </c>
    </row>
    <row r="271" spans="1:9" ht="18.75" customHeight="1" outlineLevel="5">
      <c r="A271" s="54" t="s">
        <v>169</v>
      </c>
      <c r="B271" s="79" t="s">
        <v>42</v>
      </c>
      <c r="C271" s="79" t="s">
        <v>95</v>
      </c>
      <c r="D271" s="79" t="s">
        <v>7</v>
      </c>
      <c r="E271" s="81">
        <v>0</v>
      </c>
      <c r="F271" s="80">
        <v>300</v>
      </c>
      <c r="G271" s="102">
        <f>800-235.043-0.914</f>
        <v>564.043</v>
      </c>
      <c r="H271" s="102">
        <f>800-235.043-0.914</f>
        <v>564.043</v>
      </c>
      <c r="I271" s="102">
        <f t="shared" si="9"/>
        <v>100</v>
      </c>
    </row>
    <row r="272" spans="1:9" ht="24.75" customHeight="1">
      <c r="A272" s="54" t="s">
        <v>167</v>
      </c>
      <c r="B272" s="79" t="s">
        <v>42</v>
      </c>
      <c r="C272" s="79" t="s">
        <v>95</v>
      </c>
      <c r="D272" s="79" t="s">
        <v>16</v>
      </c>
      <c r="E272" s="81">
        <v>0</v>
      </c>
      <c r="F272" s="80"/>
      <c r="G272" s="102">
        <f>SUM(G275+G278+G279+G280+G273)</f>
        <v>13978.990000000002</v>
      </c>
      <c r="H272" s="102">
        <f>SUM(H275+H278+H279+H280+H273)</f>
        <v>13007.842409999997</v>
      </c>
      <c r="I272" s="102">
        <f t="shared" si="9"/>
        <v>93.05280574633787</v>
      </c>
    </row>
    <row r="273" spans="1:9" ht="37.5" customHeight="1">
      <c r="A273" s="54" t="s">
        <v>306</v>
      </c>
      <c r="B273" s="79" t="s">
        <v>42</v>
      </c>
      <c r="C273" s="79" t="s">
        <v>95</v>
      </c>
      <c r="D273" s="79" t="s">
        <v>16</v>
      </c>
      <c r="E273" s="81">
        <v>0</v>
      </c>
      <c r="F273" s="80"/>
      <c r="G273" s="102">
        <f>SUM(G274)</f>
        <v>30</v>
      </c>
      <c r="H273" s="102">
        <f>SUM(H274)</f>
        <v>30</v>
      </c>
      <c r="I273" s="102">
        <f t="shared" si="9"/>
        <v>100</v>
      </c>
    </row>
    <row r="274" spans="1:9" ht="19.5" customHeight="1">
      <c r="A274" s="54" t="s">
        <v>169</v>
      </c>
      <c r="B274" s="79" t="s">
        <v>42</v>
      </c>
      <c r="C274" s="79" t="s">
        <v>95</v>
      </c>
      <c r="D274" s="79" t="s">
        <v>16</v>
      </c>
      <c r="E274" s="81">
        <v>0</v>
      </c>
      <c r="F274" s="80">
        <v>300</v>
      </c>
      <c r="G274" s="102">
        <v>30</v>
      </c>
      <c r="H274" s="102">
        <v>30</v>
      </c>
      <c r="I274" s="102">
        <f t="shared" si="9"/>
        <v>100</v>
      </c>
    </row>
    <row r="275" spans="1:9" ht="84">
      <c r="A275" s="54" t="s">
        <v>112</v>
      </c>
      <c r="B275" s="79" t="s">
        <v>42</v>
      </c>
      <c r="C275" s="79" t="s">
        <v>95</v>
      </c>
      <c r="D275" s="79" t="s">
        <v>16</v>
      </c>
      <c r="E275" s="81">
        <v>0</v>
      </c>
      <c r="F275" s="80"/>
      <c r="G275" s="102">
        <f>SUM(G276:G277)</f>
        <v>9814.79</v>
      </c>
      <c r="H275" s="102">
        <f>SUM(H276:H277)</f>
        <v>9333.75087</v>
      </c>
      <c r="I275" s="102">
        <f t="shared" si="9"/>
        <v>95.09883420837328</v>
      </c>
    </row>
    <row r="276" spans="1:9" ht="12.75">
      <c r="A276" s="54" t="s">
        <v>169</v>
      </c>
      <c r="B276" s="79" t="s">
        <v>42</v>
      </c>
      <c r="C276" s="79" t="s">
        <v>95</v>
      </c>
      <c r="D276" s="79" t="s">
        <v>16</v>
      </c>
      <c r="E276" s="81">
        <v>0</v>
      </c>
      <c r="F276" s="80">
        <v>300</v>
      </c>
      <c r="G276" s="102">
        <f>3291.061+1137.2-288+689+528.953+2711.085-81.269-11.06629+226.218+1503.363+0.00316</f>
        <v>9706.54787</v>
      </c>
      <c r="H276" s="102">
        <v>9230.27215</v>
      </c>
      <c r="I276" s="102">
        <f t="shared" si="9"/>
        <v>95.09325327213372</v>
      </c>
    </row>
    <row r="277" spans="1:9" ht="28.5" customHeight="1">
      <c r="A277" s="54" t="s">
        <v>108</v>
      </c>
      <c r="B277" s="79" t="s">
        <v>42</v>
      </c>
      <c r="C277" s="79" t="s">
        <v>95</v>
      </c>
      <c r="D277" s="79" t="s">
        <v>16</v>
      </c>
      <c r="E277" s="81">
        <v>0</v>
      </c>
      <c r="F277" s="80">
        <v>200</v>
      </c>
      <c r="G277" s="102">
        <f>87.7+81.083+227.224-342.425+27.108-0.81+11.06629+2.262+15.037-0.00316</f>
        <v>108.24213</v>
      </c>
      <c r="H277" s="102">
        <f>92.30272+11.176</f>
        <v>103.47872</v>
      </c>
      <c r="I277" s="102">
        <f t="shared" si="9"/>
        <v>95.59930130717123</v>
      </c>
    </row>
    <row r="278" spans="1:9" ht="75" customHeight="1">
      <c r="A278" s="54" t="s">
        <v>113</v>
      </c>
      <c r="B278" s="79" t="s">
        <v>42</v>
      </c>
      <c r="C278" s="79" t="s">
        <v>95</v>
      </c>
      <c r="D278" s="79" t="s">
        <v>16</v>
      </c>
      <c r="E278" s="81">
        <v>0</v>
      </c>
      <c r="F278" s="80">
        <v>300</v>
      </c>
      <c r="G278" s="102">
        <f>342.7+460.6+264.4</f>
        <v>1067.6999999999998</v>
      </c>
      <c r="H278" s="102">
        <v>771.49154</v>
      </c>
      <c r="I278" s="102">
        <f t="shared" si="9"/>
        <v>72.25733258405921</v>
      </c>
    </row>
    <row r="279" spans="1:9" ht="63.75" customHeight="1">
      <c r="A279" s="54" t="s">
        <v>114</v>
      </c>
      <c r="B279" s="79" t="s">
        <v>42</v>
      </c>
      <c r="C279" s="79" t="s">
        <v>95</v>
      </c>
      <c r="D279" s="79" t="s">
        <v>16</v>
      </c>
      <c r="E279" s="81">
        <v>0</v>
      </c>
      <c r="F279" s="80">
        <v>300</v>
      </c>
      <c r="G279" s="102">
        <f>18.6+36.6-28.1-4.6+20</f>
        <v>42.5</v>
      </c>
      <c r="H279" s="102">
        <v>25.9</v>
      </c>
      <c r="I279" s="102">
        <f t="shared" si="9"/>
        <v>60.94117647058823</v>
      </c>
    </row>
    <row r="280" spans="1:9" ht="60.75" customHeight="1">
      <c r="A280" s="54" t="s">
        <v>115</v>
      </c>
      <c r="B280" s="79" t="s">
        <v>42</v>
      </c>
      <c r="C280" s="79" t="s">
        <v>95</v>
      </c>
      <c r="D280" s="79" t="s">
        <v>16</v>
      </c>
      <c r="E280" s="81">
        <v>0</v>
      </c>
      <c r="F280" s="80">
        <v>300</v>
      </c>
      <c r="G280" s="102">
        <f>3525-1280.1+779.1</f>
        <v>3024</v>
      </c>
      <c r="H280" s="102">
        <v>2846.7</v>
      </c>
      <c r="I280" s="102">
        <f t="shared" si="9"/>
        <v>94.13690476190476</v>
      </c>
    </row>
    <row r="281" spans="1:9" ht="24" customHeight="1">
      <c r="A281" s="54" t="s">
        <v>94</v>
      </c>
      <c r="B281" s="79" t="s">
        <v>42</v>
      </c>
      <c r="C281" s="79" t="s">
        <v>96</v>
      </c>
      <c r="D281" s="79"/>
      <c r="E281" s="81"/>
      <c r="F281" s="80"/>
      <c r="G281" s="102">
        <f>SUM(G284+G282)</f>
        <v>7461.451</v>
      </c>
      <c r="H281" s="102">
        <f>SUM(H284+H282)</f>
        <v>6848.250999999999</v>
      </c>
      <c r="I281" s="102">
        <f t="shared" si="9"/>
        <v>91.78175933876668</v>
      </c>
    </row>
    <row r="282" spans="1:9" ht="24" customHeight="1">
      <c r="A282" s="54" t="s">
        <v>284</v>
      </c>
      <c r="B282" s="79" t="s">
        <v>42</v>
      </c>
      <c r="C282" s="79" t="s">
        <v>96</v>
      </c>
      <c r="D282" s="79" t="s">
        <v>285</v>
      </c>
      <c r="E282" s="81">
        <v>0</v>
      </c>
      <c r="F282" s="80"/>
      <c r="G282" s="102">
        <f>SUM(G283)</f>
        <v>193.851</v>
      </c>
      <c r="H282" s="102">
        <f>SUM(H283)</f>
        <v>193.851</v>
      </c>
      <c r="I282" s="102">
        <f t="shared" si="9"/>
        <v>100</v>
      </c>
    </row>
    <row r="283" spans="1:9" ht="18" customHeight="1">
      <c r="A283" s="54" t="s">
        <v>169</v>
      </c>
      <c r="B283" s="79" t="s">
        <v>42</v>
      </c>
      <c r="C283" s="79" t="s">
        <v>96</v>
      </c>
      <c r="D283" s="79" t="s">
        <v>285</v>
      </c>
      <c r="E283" s="81">
        <v>0</v>
      </c>
      <c r="F283" s="80">
        <v>300</v>
      </c>
      <c r="G283" s="102">
        <f>150+43.851</f>
        <v>193.851</v>
      </c>
      <c r="H283" s="102">
        <f>150+43.851</f>
        <v>193.851</v>
      </c>
      <c r="I283" s="102">
        <f t="shared" si="9"/>
        <v>100</v>
      </c>
    </row>
    <row r="284" spans="1:9" ht="27.75" customHeight="1">
      <c r="A284" s="54" t="s">
        <v>167</v>
      </c>
      <c r="B284" s="79" t="s">
        <v>42</v>
      </c>
      <c r="C284" s="79" t="s">
        <v>96</v>
      </c>
      <c r="D284" s="79" t="s">
        <v>16</v>
      </c>
      <c r="E284" s="81">
        <v>0</v>
      </c>
      <c r="F284" s="80"/>
      <c r="G284" s="102">
        <f>SUM(G285+G288)</f>
        <v>7267.6</v>
      </c>
      <c r="H284" s="102">
        <f>SUM(H285+H288)</f>
        <v>6654.4</v>
      </c>
      <c r="I284" s="102">
        <f t="shared" si="9"/>
        <v>91.56255159887719</v>
      </c>
    </row>
    <row r="285" spans="1:9" ht="48.75" customHeight="1">
      <c r="A285" s="54" t="s">
        <v>116</v>
      </c>
      <c r="B285" s="79" t="s">
        <v>42</v>
      </c>
      <c r="C285" s="79" t="s">
        <v>96</v>
      </c>
      <c r="D285" s="79" t="s">
        <v>16</v>
      </c>
      <c r="E285" s="81">
        <v>0</v>
      </c>
      <c r="F285" s="80"/>
      <c r="G285" s="102">
        <f>SUM(G286:G287)</f>
        <v>440.0000000000001</v>
      </c>
      <c r="H285" s="102">
        <f>SUM(H286:H287)</f>
        <v>440.0000000000001</v>
      </c>
      <c r="I285" s="102">
        <f t="shared" si="9"/>
        <v>100</v>
      </c>
    </row>
    <row r="286" spans="1:9" ht="14.25" customHeight="1">
      <c r="A286" s="54" t="s">
        <v>169</v>
      </c>
      <c r="B286" s="79" t="s">
        <v>42</v>
      </c>
      <c r="C286" s="79" t="s">
        <v>96</v>
      </c>
      <c r="D286" s="79" t="s">
        <v>16</v>
      </c>
      <c r="E286" s="81">
        <v>0</v>
      </c>
      <c r="F286" s="80">
        <v>300</v>
      </c>
      <c r="G286" s="102">
        <f>1174.75-17.85-701.355+871.485-911.19+19.81+0.03274</f>
        <v>435.68274000000014</v>
      </c>
      <c r="H286" s="102">
        <f>1174.75-17.85-701.355+871.485-911.19+19.81+0.03274</f>
        <v>435.68274000000014</v>
      </c>
      <c r="I286" s="102">
        <f t="shared" si="9"/>
        <v>100</v>
      </c>
    </row>
    <row r="287" spans="1:9" ht="23.25" customHeight="1">
      <c r="A287" s="54" t="s">
        <v>108</v>
      </c>
      <c r="B287" s="79" t="s">
        <v>42</v>
      </c>
      <c r="C287" s="79" t="s">
        <v>96</v>
      </c>
      <c r="D287" s="79" t="s">
        <v>16</v>
      </c>
      <c r="E287" s="81">
        <v>0</v>
      </c>
      <c r="F287" s="80">
        <v>200</v>
      </c>
      <c r="G287" s="102">
        <f>11.75-0.15-7.045+8.715-9.11+0.19-0.03274</f>
        <v>4.31726</v>
      </c>
      <c r="H287" s="102">
        <f>11.75-0.15-7.045+8.715-9.11+0.19-0.03274</f>
        <v>4.31726</v>
      </c>
      <c r="I287" s="102">
        <f t="shared" si="9"/>
        <v>100</v>
      </c>
    </row>
    <row r="288" spans="1:9" ht="96">
      <c r="A288" s="54" t="s">
        <v>256</v>
      </c>
      <c r="B288" s="79" t="s">
        <v>42</v>
      </c>
      <c r="C288" s="79" t="s">
        <v>96</v>
      </c>
      <c r="D288" s="79" t="s">
        <v>16</v>
      </c>
      <c r="E288" s="81">
        <v>0</v>
      </c>
      <c r="F288" s="80"/>
      <c r="G288" s="102">
        <f>SUM(G289:G290)</f>
        <v>6827.6</v>
      </c>
      <c r="H288" s="102">
        <f>SUM(H289:H290)</f>
        <v>6214.4</v>
      </c>
      <c r="I288" s="102">
        <f t="shared" si="9"/>
        <v>91.01880602261409</v>
      </c>
    </row>
    <row r="289" spans="1:9" ht="12.75">
      <c r="A289" s="54" t="s">
        <v>117</v>
      </c>
      <c r="B289" s="79" t="s">
        <v>42</v>
      </c>
      <c r="C289" s="79" t="s">
        <v>96</v>
      </c>
      <c r="D289" s="79" t="s">
        <v>16</v>
      </c>
      <c r="E289" s="81">
        <v>0</v>
      </c>
      <c r="F289" s="80">
        <v>300</v>
      </c>
      <c r="G289" s="102">
        <f>2031.6+372.4+207.7+2825.3</f>
        <v>5437</v>
      </c>
      <c r="H289" s="102">
        <v>4823.8</v>
      </c>
      <c r="I289" s="102">
        <f t="shared" si="9"/>
        <v>88.72172153761265</v>
      </c>
    </row>
    <row r="290" spans="1:9" ht="26.25" customHeight="1">
      <c r="A290" s="54" t="s">
        <v>118</v>
      </c>
      <c r="B290" s="79" t="s">
        <v>42</v>
      </c>
      <c r="C290" s="79" t="s">
        <v>96</v>
      </c>
      <c r="D290" s="79" t="s">
        <v>16</v>
      </c>
      <c r="E290" s="81">
        <v>0</v>
      </c>
      <c r="F290" s="80">
        <v>300</v>
      </c>
      <c r="G290" s="102">
        <f>342.9+419.9-272.3+158.5+670+50+21.6</f>
        <v>1390.6</v>
      </c>
      <c r="H290" s="102">
        <f>342.9+419.9-272.3+158.5+670+50+21.6</f>
        <v>1390.6</v>
      </c>
      <c r="I290" s="102">
        <f t="shared" si="9"/>
        <v>100</v>
      </c>
    </row>
    <row r="291" spans="1:9" ht="12.75">
      <c r="A291" s="54" t="s">
        <v>249</v>
      </c>
      <c r="B291" s="79" t="s">
        <v>42</v>
      </c>
      <c r="C291" s="79" t="s">
        <v>248</v>
      </c>
      <c r="D291" s="79"/>
      <c r="E291" s="81"/>
      <c r="F291" s="80"/>
      <c r="G291" s="102">
        <f>SUM(G292)</f>
        <v>1186.49</v>
      </c>
      <c r="H291" s="102">
        <f>SUM(H292)</f>
        <v>1052.82705</v>
      </c>
      <c r="I291" s="102">
        <f t="shared" si="9"/>
        <v>88.73459110485551</v>
      </c>
    </row>
    <row r="292" spans="1:9" ht="24">
      <c r="A292" s="54" t="s">
        <v>167</v>
      </c>
      <c r="B292" s="79" t="s">
        <v>42</v>
      </c>
      <c r="C292" s="79" t="s">
        <v>248</v>
      </c>
      <c r="D292" s="79" t="s">
        <v>16</v>
      </c>
      <c r="E292" s="81">
        <v>0</v>
      </c>
      <c r="F292" s="80"/>
      <c r="G292" s="102">
        <f>SUM(G293)</f>
        <v>1186.49</v>
      </c>
      <c r="H292" s="102">
        <f>SUM(H293)</f>
        <v>1052.82705</v>
      </c>
      <c r="I292" s="102">
        <f t="shared" si="9"/>
        <v>88.73459110485551</v>
      </c>
    </row>
    <row r="293" spans="1:9" ht="84">
      <c r="A293" s="54" t="s">
        <v>112</v>
      </c>
      <c r="B293" s="79" t="s">
        <v>42</v>
      </c>
      <c r="C293" s="79" t="s">
        <v>248</v>
      </c>
      <c r="D293" s="79" t="s">
        <v>16</v>
      </c>
      <c r="E293" s="81">
        <v>0</v>
      </c>
      <c r="F293" s="80"/>
      <c r="G293" s="102">
        <f>SUM(G294:G295)</f>
        <v>1186.49</v>
      </c>
      <c r="H293" s="102">
        <f>SUM(H294:H295)</f>
        <v>1052.82705</v>
      </c>
      <c r="I293" s="102">
        <f t="shared" si="9"/>
        <v>88.73459110485551</v>
      </c>
    </row>
    <row r="294" spans="1:9" ht="43.5" customHeight="1">
      <c r="A294" s="54" t="s">
        <v>107</v>
      </c>
      <c r="B294" s="79" t="s">
        <v>42</v>
      </c>
      <c r="C294" s="79" t="s">
        <v>248</v>
      </c>
      <c r="D294" s="79" t="s">
        <v>16</v>
      </c>
      <c r="E294" s="81">
        <v>0</v>
      </c>
      <c r="F294" s="80">
        <v>100</v>
      </c>
      <c r="G294" s="102">
        <f>512.204+387.796+31.62184</f>
        <v>931.62184</v>
      </c>
      <c r="H294" s="102">
        <f>512.204+387.796+31.62184</f>
        <v>931.62184</v>
      </c>
      <c r="I294" s="102">
        <f t="shared" si="9"/>
        <v>100</v>
      </c>
    </row>
    <row r="295" spans="1:9" ht="25.5" customHeight="1">
      <c r="A295" s="54" t="s">
        <v>108</v>
      </c>
      <c r="B295" s="79" t="s">
        <v>42</v>
      </c>
      <c r="C295" s="79" t="s">
        <v>248</v>
      </c>
      <c r="D295" s="79" t="s">
        <v>16</v>
      </c>
      <c r="E295" s="81">
        <v>0</v>
      </c>
      <c r="F295" s="80">
        <v>200</v>
      </c>
      <c r="G295" s="102">
        <f>40+164.411+82.079-31.62184</f>
        <v>254.86816000000002</v>
      </c>
      <c r="H295" s="102">
        <v>121.20521</v>
      </c>
      <c r="I295" s="102">
        <f t="shared" si="9"/>
        <v>47.55604230830559</v>
      </c>
    </row>
    <row r="296" spans="1:9" ht="20.25" customHeight="1">
      <c r="A296" s="54" t="s">
        <v>97</v>
      </c>
      <c r="B296" s="79" t="s">
        <v>42</v>
      </c>
      <c r="C296" s="79" t="s">
        <v>150</v>
      </c>
      <c r="D296" s="79"/>
      <c r="E296" s="81"/>
      <c r="F296" s="80"/>
      <c r="G296" s="102">
        <f aca="true" t="shared" si="10" ref="G296:H298">SUM(G297)</f>
        <v>600</v>
      </c>
      <c r="H296" s="102">
        <f t="shared" si="10"/>
        <v>600</v>
      </c>
      <c r="I296" s="102">
        <f t="shared" si="9"/>
        <v>100</v>
      </c>
    </row>
    <row r="297" spans="1:9" ht="12.75">
      <c r="A297" s="54" t="s">
        <v>238</v>
      </c>
      <c r="B297" s="79" t="s">
        <v>42</v>
      </c>
      <c r="C297" s="79" t="s">
        <v>98</v>
      </c>
      <c r="D297" s="79"/>
      <c r="E297" s="81"/>
      <c r="F297" s="80"/>
      <c r="G297" s="102">
        <f t="shared" si="10"/>
        <v>600</v>
      </c>
      <c r="H297" s="102">
        <f t="shared" si="10"/>
        <v>600</v>
      </c>
      <c r="I297" s="102">
        <f t="shared" si="9"/>
        <v>100</v>
      </c>
    </row>
    <row r="298" spans="1:9" ht="24">
      <c r="A298" s="54" t="s">
        <v>275</v>
      </c>
      <c r="B298" s="79" t="s">
        <v>42</v>
      </c>
      <c r="C298" s="79" t="s">
        <v>98</v>
      </c>
      <c r="D298" s="79" t="s">
        <v>18</v>
      </c>
      <c r="E298" s="81">
        <v>0</v>
      </c>
      <c r="F298" s="80"/>
      <c r="G298" s="102">
        <f t="shared" si="10"/>
        <v>600</v>
      </c>
      <c r="H298" s="102">
        <f t="shared" si="10"/>
        <v>600</v>
      </c>
      <c r="I298" s="102">
        <f t="shared" si="9"/>
        <v>100</v>
      </c>
    </row>
    <row r="299" spans="1:9" ht="24" customHeight="1">
      <c r="A299" s="54" t="s">
        <v>108</v>
      </c>
      <c r="B299" s="79" t="s">
        <v>42</v>
      </c>
      <c r="C299" s="79" t="s">
        <v>98</v>
      </c>
      <c r="D299" s="79" t="s">
        <v>18</v>
      </c>
      <c r="E299" s="81">
        <v>0</v>
      </c>
      <c r="F299" s="80">
        <v>200</v>
      </c>
      <c r="G299" s="102">
        <f>600</f>
        <v>600</v>
      </c>
      <c r="H299" s="102">
        <f>600</f>
        <v>600</v>
      </c>
      <c r="I299" s="102">
        <f t="shared" si="9"/>
        <v>100</v>
      </c>
    </row>
    <row r="300" spans="1:9" ht="12.75">
      <c r="A300" s="54" t="s">
        <v>99</v>
      </c>
      <c r="B300" s="79" t="s">
        <v>42</v>
      </c>
      <c r="C300" s="79" t="s">
        <v>151</v>
      </c>
      <c r="D300" s="79"/>
      <c r="E300" s="81"/>
      <c r="F300" s="80"/>
      <c r="G300" s="102">
        <f>SUM(G302)</f>
        <v>2449.415</v>
      </c>
      <c r="H300" s="102">
        <f>SUM(H302)</f>
        <v>2449.415</v>
      </c>
      <c r="I300" s="102">
        <f t="shared" si="9"/>
        <v>100</v>
      </c>
    </row>
    <row r="301" spans="1:9" ht="18.75" customHeight="1">
      <c r="A301" s="54" t="s">
        <v>100</v>
      </c>
      <c r="B301" s="79" t="s">
        <v>42</v>
      </c>
      <c r="C301" s="79" t="s">
        <v>101</v>
      </c>
      <c r="D301" s="79"/>
      <c r="E301" s="81"/>
      <c r="F301" s="104"/>
      <c r="G301" s="102">
        <f>SUM(G302)</f>
        <v>2449.415</v>
      </c>
      <c r="H301" s="102">
        <f>SUM(H302)</f>
        <v>2449.415</v>
      </c>
      <c r="I301" s="102">
        <f t="shared" si="9"/>
        <v>100</v>
      </c>
    </row>
    <row r="302" spans="1:9" ht="24.75" customHeight="1">
      <c r="A302" s="54" t="s">
        <v>292</v>
      </c>
      <c r="B302" s="79" t="s">
        <v>42</v>
      </c>
      <c r="C302" s="79" t="s">
        <v>101</v>
      </c>
      <c r="D302" s="79" t="s">
        <v>154</v>
      </c>
      <c r="E302" s="81">
        <v>0</v>
      </c>
      <c r="F302" s="80"/>
      <c r="G302" s="102">
        <f>SUM(G303:G304)</f>
        <v>2449.415</v>
      </c>
      <c r="H302" s="102">
        <f>SUM(H303:H304)</f>
        <v>2449.415</v>
      </c>
      <c r="I302" s="102">
        <f t="shared" si="9"/>
        <v>100</v>
      </c>
    </row>
    <row r="303" spans="1:9" ht="24">
      <c r="A303" s="54" t="s">
        <v>168</v>
      </c>
      <c r="B303" s="79" t="s">
        <v>42</v>
      </c>
      <c r="C303" s="79" t="s">
        <v>101</v>
      </c>
      <c r="D303" s="79" t="s">
        <v>154</v>
      </c>
      <c r="E303" s="81">
        <v>0</v>
      </c>
      <c r="F303" s="80">
        <v>600</v>
      </c>
      <c r="G303" s="102">
        <f>1200+200</f>
        <v>1400</v>
      </c>
      <c r="H303" s="102">
        <f>1200+200</f>
        <v>1400</v>
      </c>
      <c r="I303" s="102">
        <f t="shared" si="9"/>
        <v>100</v>
      </c>
    </row>
    <row r="304" spans="1:9" ht="84">
      <c r="A304" s="54" t="s">
        <v>219</v>
      </c>
      <c r="B304" s="79" t="s">
        <v>42</v>
      </c>
      <c r="C304" s="79" t="s">
        <v>101</v>
      </c>
      <c r="D304" s="79" t="s">
        <v>154</v>
      </c>
      <c r="E304" s="81">
        <v>0</v>
      </c>
      <c r="F304" s="80">
        <v>600</v>
      </c>
      <c r="G304" s="102">
        <v>1049.415</v>
      </c>
      <c r="H304" s="102">
        <v>1049.415</v>
      </c>
      <c r="I304" s="102">
        <f t="shared" si="9"/>
        <v>100</v>
      </c>
    </row>
    <row r="305" spans="1:9" ht="12.75">
      <c r="A305" s="54" t="s">
        <v>102</v>
      </c>
      <c r="B305" s="79" t="s">
        <v>42</v>
      </c>
      <c r="C305" s="79" t="s">
        <v>152</v>
      </c>
      <c r="D305" s="79"/>
      <c r="E305" s="81"/>
      <c r="F305" s="80"/>
      <c r="G305" s="102">
        <f>SUM(G308)</f>
        <v>0</v>
      </c>
      <c r="H305" s="102">
        <f>SUM(H308)</f>
        <v>0</v>
      </c>
      <c r="I305" s="102">
        <v>0</v>
      </c>
    </row>
    <row r="306" spans="1:9" ht="12.75">
      <c r="A306" s="54" t="s">
        <v>181</v>
      </c>
      <c r="B306" s="79" t="s">
        <v>42</v>
      </c>
      <c r="C306" s="79" t="s">
        <v>104</v>
      </c>
      <c r="D306" s="79"/>
      <c r="E306" s="81"/>
      <c r="F306" s="80"/>
      <c r="G306" s="102">
        <f>SUM(G307)</f>
        <v>0</v>
      </c>
      <c r="H306" s="102">
        <f>SUM(H307)</f>
        <v>0</v>
      </c>
      <c r="I306" s="102">
        <v>0</v>
      </c>
    </row>
    <row r="307" spans="1:9" ht="24">
      <c r="A307" s="54" t="s">
        <v>167</v>
      </c>
      <c r="B307" s="79" t="s">
        <v>42</v>
      </c>
      <c r="C307" s="79" t="s">
        <v>104</v>
      </c>
      <c r="D307" s="79" t="s">
        <v>16</v>
      </c>
      <c r="E307" s="81">
        <v>0</v>
      </c>
      <c r="F307" s="80"/>
      <c r="G307" s="102">
        <f>SUM(G308)</f>
        <v>0</v>
      </c>
      <c r="H307" s="102">
        <f>SUM(H308)</f>
        <v>0</v>
      </c>
      <c r="I307" s="102">
        <v>0</v>
      </c>
    </row>
    <row r="308" spans="1:9" ht="12.75">
      <c r="A308" s="54" t="s">
        <v>182</v>
      </c>
      <c r="B308" s="79" t="s">
        <v>42</v>
      </c>
      <c r="C308" s="79" t="s">
        <v>104</v>
      </c>
      <c r="D308" s="79" t="s">
        <v>16</v>
      </c>
      <c r="E308" s="81">
        <v>0</v>
      </c>
      <c r="F308" s="80">
        <v>700</v>
      </c>
      <c r="G308" s="102">
        <f>150-150</f>
        <v>0</v>
      </c>
      <c r="H308" s="102">
        <f>150-150</f>
        <v>0</v>
      </c>
      <c r="I308" s="102">
        <v>0</v>
      </c>
    </row>
    <row r="309" spans="1:9" ht="24">
      <c r="A309" s="54" t="s">
        <v>184</v>
      </c>
      <c r="B309" s="79" t="s">
        <v>42</v>
      </c>
      <c r="C309" s="79" t="s">
        <v>185</v>
      </c>
      <c r="D309" s="79"/>
      <c r="E309" s="81"/>
      <c r="F309" s="80"/>
      <c r="G309" s="102">
        <f aca="true" t="shared" si="11" ref="G309:H311">SUM(G310)</f>
        <v>22067</v>
      </c>
      <c r="H309" s="102">
        <f t="shared" si="11"/>
        <v>22067</v>
      </c>
      <c r="I309" s="102">
        <f t="shared" si="9"/>
        <v>100</v>
      </c>
    </row>
    <row r="310" spans="1:9" ht="12.75">
      <c r="A310" s="54" t="s">
        <v>186</v>
      </c>
      <c r="B310" s="79" t="s">
        <v>42</v>
      </c>
      <c r="C310" s="79" t="s">
        <v>187</v>
      </c>
      <c r="D310" s="79"/>
      <c r="E310" s="81"/>
      <c r="F310" s="80"/>
      <c r="G310" s="102">
        <f t="shared" si="11"/>
        <v>22067</v>
      </c>
      <c r="H310" s="102">
        <f t="shared" si="11"/>
        <v>22067</v>
      </c>
      <c r="I310" s="102">
        <f t="shared" si="9"/>
        <v>100</v>
      </c>
    </row>
    <row r="311" spans="1:9" ht="24">
      <c r="A311" s="54" t="s">
        <v>167</v>
      </c>
      <c r="B311" s="79" t="s">
        <v>42</v>
      </c>
      <c r="C311" s="79" t="s">
        <v>187</v>
      </c>
      <c r="D311" s="79" t="s">
        <v>16</v>
      </c>
      <c r="E311" s="81">
        <v>0</v>
      </c>
      <c r="F311" s="80"/>
      <c r="G311" s="102">
        <f t="shared" si="11"/>
        <v>22067</v>
      </c>
      <c r="H311" s="102">
        <f t="shared" si="11"/>
        <v>22067</v>
      </c>
      <c r="I311" s="102">
        <f t="shared" si="9"/>
        <v>100</v>
      </c>
    </row>
    <row r="312" spans="1:9" ht="12.75">
      <c r="A312" s="54" t="s">
        <v>170</v>
      </c>
      <c r="B312" s="79" t="s">
        <v>42</v>
      </c>
      <c r="C312" s="79" t="s">
        <v>187</v>
      </c>
      <c r="D312" s="79" t="s">
        <v>16</v>
      </c>
      <c r="E312" s="81">
        <v>0</v>
      </c>
      <c r="F312" s="80">
        <v>500</v>
      </c>
      <c r="G312" s="102">
        <f>18907-1340+1000+500+3000</f>
        <v>22067</v>
      </c>
      <c r="H312" s="102">
        <f>18907-1340+1000+500+3000</f>
        <v>22067</v>
      </c>
      <c r="I312" s="102">
        <f t="shared" si="9"/>
        <v>100</v>
      </c>
    </row>
    <row r="313" spans="1:9" ht="12.75">
      <c r="A313" s="54" t="s">
        <v>105</v>
      </c>
      <c r="B313" s="79"/>
      <c r="C313" s="79"/>
      <c r="D313" s="79"/>
      <c r="E313" s="81"/>
      <c r="F313" s="80"/>
      <c r="G313" s="102">
        <f>SUM(G10+G18+G26)</f>
        <v>433348.2332799999</v>
      </c>
      <c r="H313" s="102">
        <f>SUM(H10+H18+H26)</f>
        <v>394410.0522</v>
      </c>
      <c r="I313" s="102">
        <f t="shared" si="9"/>
        <v>91.01457486389687</v>
      </c>
    </row>
  </sheetData>
  <sheetProtection/>
  <mergeCells count="7">
    <mergeCell ref="G8:I8"/>
    <mergeCell ref="A6:I6"/>
    <mergeCell ref="G1:I1"/>
    <mergeCell ref="G2:I2"/>
    <mergeCell ref="G3:I3"/>
    <mergeCell ref="G4:I4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07"/>
  <sheetViews>
    <sheetView showGridLines="0" zoomScale="110" zoomScaleNormal="110" zoomScalePageLayoutView="0" workbookViewId="0" topLeftCell="A1">
      <pane ySplit="8" topLeftCell="A210" activePane="bottomLeft" state="frozen"/>
      <selection pane="topLeft" activeCell="A1" sqref="A1"/>
      <selection pane="bottomLeft" activeCell="F1" sqref="F1:H1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9.28125" style="15" customWidth="1"/>
    <col min="7" max="16384" width="9.140625" style="2" customWidth="1"/>
  </cols>
  <sheetData>
    <row r="1" spans="1:9" ht="18.75">
      <c r="A1" s="73"/>
      <c r="B1" s="74"/>
      <c r="C1" s="75"/>
      <c r="D1" s="75"/>
      <c r="E1" s="75"/>
      <c r="F1" s="112" t="s">
        <v>334</v>
      </c>
      <c r="G1" s="112"/>
      <c r="H1" s="112"/>
      <c r="I1" s="24"/>
    </row>
    <row r="2" spans="1:9" ht="12.75" customHeight="1">
      <c r="A2" s="73"/>
      <c r="B2" s="112" t="s">
        <v>331</v>
      </c>
      <c r="C2" s="112"/>
      <c r="D2" s="112"/>
      <c r="E2" s="112"/>
      <c r="F2" s="112"/>
      <c r="G2" s="112"/>
      <c r="H2" s="112"/>
      <c r="I2" s="24"/>
    </row>
    <row r="3" spans="1:9" ht="18.75">
      <c r="A3" s="112" t="s">
        <v>164</v>
      </c>
      <c r="B3" s="112"/>
      <c r="C3" s="112"/>
      <c r="D3" s="112"/>
      <c r="E3" s="112"/>
      <c r="F3" s="112"/>
      <c r="G3" s="112"/>
      <c r="H3" s="112"/>
      <c r="I3" s="24"/>
    </row>
    <row r="4" spans="1:6" ht="15">
      <c r="A4" s="8"/>
      <c r="B4" s="1"/>
      <c r="C4" s="1"/>
      <c r="D4" s="5"/>
      <c r="E4" s="10"/>
      <c r="F4" s="66"/>
    </row>
    <row r="5" spans="1:8" ht="33" customHeight="1">
      <c r="A5" s="115" t="s">
        <v>330</v>
      </c>
      <c r="B5" s="115"/>
      <c r="C5" s="115"/>
      <c r="D5" s="115"/>
      <c r="E5" s="115"/>
      <c r="F5" s="115"/>
      <c r="G5" s="115"/>
      <c r="H5" s="115"/>
    </row>
    <row r="6" spans="1:6" ht="12.75">
      <c r="A6" s="33"/>
      <c r="B6" s="34"/>
      <c r="C6" s="34"/>
      <c r="D6" s="35"/>
      <c r="E6" s="37"/>
      <c r="F6" s="36"/>
    </row>
    <row r="7" spans="1:8" ht="12.75">
      <c r="A7" s="33"/>
      <c r="B7" s="34"/>
      <c r="C7" s="34"/>
      <c r="D7" s="35"/>
      <c r="E7" s="37"/>
      <c r="F7" s="114" t="s">
        <v>165</v>
      </c>
      <c r="G7" s="114"/>
      <c r="H7" s="114"/>
    </row>
    <row r="8" spans="1:8" ht="87.75" customHeight="1">
      <c r="A8" s="39" t="s">
        <v>1</v>
      </c>
      <c r="B8" s="68" t="s">
        <v>195</v>
      </c>
      <c r="C8" s="53" t="s">
        <v>245</v>
      </c>
      <c r="D8" s="41" t="s">
        <v>8</v>
      </c>
      <c r="E8" s="42" t="s">
        <v>166</v>
      </c>
      <c r="F8" s="38" t="s">
        <v>317</v>
      </c>
      <c r="G8" s="38" t="s">
        <v>319</v>
      </c>
      <c r="H8" s="38" t="s">
        <v>318</v>
      </c>
    </row>
    <row r="9" spans="1:8" s="4" customFormat="1" ht="12.75" outlineLevel="3">
      <c r="A9" s="54" t="str">
        <f>'Приложение 3'!A11</f>
        <v>ОБЩЕГОСУДАРСТВЕННЫЕ ВОПРОСЫ</v>
      </c>
      <c r="B9" s="92" t="str">
        <f>'Приложение 3'!C11</f>
        <v>0100</v>
      </c>
      <c r="C9" s="92"/>
      <c r="D9" s="92"/>
      <c r="E9" s="92"/>
      <c r="F9" s="76">
        <f>SUM(F10+F19+F49+F53+F56+F13+F43)</f>
        <v>81511.25390999998</v>
      </c>
      <c r="G9" s="76">
        <f>SUM(G10+G19+G49+G53+G56+G13+G43)</f>
        <v>81288.60251999999</v>
      </c>
      <c r="H9" s="95">
        <f aca="true" t="shared" si="0" ref="H9:H72">SUM(G9/F9)*100</f>
        <v>99.72684582886451</v>
      </c>
    </row>
    <row r="10" spans="1:8" s="4" customFormat="1" ht="24" outlineLevel="3">
      <c r="A10" s="54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0" s="92" t="str">
        <f>'Приложение 3'!C28</f>
        <v>0102</v>
      </c>
      <c r="C10" s="92"/>
      <c r="D10" s="92"/>
      <c r="E10" s="92"/>
      <c r="F10" s="76">
        <f>SUM(F11)</f>
        <v>1684.7729499999998</v>
      </c>
      <c r="G10" s="76">
        <f>SUM(G11)</f>
        <v>1684.7729499999998</v>
      </c>
      <c r="H10" s="95">
        <f t="shared" si="0"/>
        <v>100</v>
      </c>
    </row>
    <row r="11" spans="1:8" s="4" customFormat="1" ht="36" outlineLevel="3">
      <c r="A11" s="54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1" s="92" t="str">
        <f>'Приложение 3'!C29</f>
        <v>0102</v>
      </c>
      <c r="C11" s="92" t="s">
        <v>11</v>
      </c>
      <c r="D11" s="92" t="s">
        <v>9</v>
      </c>
      <c r="E11" s="92">
        <v>100</v>
      </c>
      <c r="F11" s="76">
        <f>SUM(F12)</f>
        <v>1684.7729499999998</v>
      </c>
      <c r="G11" s="76">
        <f>SUM(G12)</f>
        <v>1684.7729499999998</v>
      </c>
      <c r="H11" s="95">
        <f t="shared" si="0"/>
        <v>100</v>
      </c>
    </row>
    <row r="12" spans="1:8" ht="48" outlineLevel="1">
      <c r="A12" s="54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" s="92" t="str">
        <f>'Приложение 3'!C30</f>
        <v>0102</v>
      </c>
      <c r="C12" s="92" t="s">
        <v>11</v>
      </c>
      <c r="D12" s="92">
        <v>0</v>
      </c>
      <c r="E12" s="92">
        <v>100</v>
      </c>
      <c r="F12" s="76">
        <f>SUM('Приложение 3'!G30)</f>
        <v>1684.7729499999998</v>
      </c>
      <c r="G12" s="76">
        <f>SUM('Приложение 3'!H30)</f>
        <v>1684.7729499999998</v>
      </c>
      <c r="H12" s="95">
        <f t="shared" si="0"/>
        <v>100</v>
      </c>
    </row>
    <row r="13" spans="1:8" ht="37.5" customHeight="1" outlineLevel="1">
      <c r="A13" s="54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3" s="92" t="str">
        <f>'Приложение 3'!C12</f>
        <v>0103</v>
      </c>
      <c r="C13" s="93"/>
      <c r="D13" s="92"/>
      <c r="E13" s="92"/>
      <c r="F13" s="76">
        <f>SUBTOTAL(9,'Приложение 3'!G11)</f>
        <v>437.36688</v>
      </c>
      <c r="G13" s="76">
        <f>SUBTOTAL(9,'Приложение 3'!H11)</f>
        <v>437.36688</v>
      </c>
      <c r="H13" s="95">
        <f t="shared" si="0"/>
        <v>100</v>
      </c>
    </row>
    <row r="14" spans="1:8" ht="24.75" customHeight="1" outlineLevel="1">
      <c r="A14" s="54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4" s="92" t="str">
        <f>'Приложение 3'!C13</f>
        <v>0103</v>
      </c>
      <c r="C14" s="93"/>
      <c r="D14" s="92"/>
      <c r="E14" s="92"/>
      <c r="F14" s="76">
        <f>SUBTOTAL(9,'Приложение 3'!G12)</f>
        <v>437.36688</v>
      </c>
      <c r="G14" s="76">
        <f>SUBTOTAL(9,'Приложение 3'!H12)</f>
        <v>437.36688</v>
      </c>
      <c r="H14" s="95">
        <f t="shared" si="0"/>
        <v>100</v>
      </c>
    </row>
    <row r="15" spans="1:8" ht="48" outlineLevel="1">
      <c r="A15" s="54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" s="92" t="str">
        <f>'Приложение 3'!C14</f>
        <v>0103</v>
      </c>
      <c r="C15" s="92" t="str">
        <f>'Приложение 3'!D14</f>
        <v>90</v>
      </c>
      <c r="D15" s="92" t="str">
        <f>'Приложение 3'!E14</f>
        <v>0</v>
      </c>
      <c r="E15" s="92">
        <f>'Приложение 3'!F14</f>
        <v>100</v>
      </c>
      <c r="F15" s="76">
        <f>SUBTOTAL(9,'Приложение 3'!G14)</f>
        <v>378.95488</v>
      </c>
      <c r="G15" s="76">
        <f>SUBTOTAL(9,'Приложение 3'!H14)</f>
        <v>378.95488</v>
      </c>
      <c r="H15" s="95">
        <f t="shared" si="0"/>
        <v>100</v>
      </c>
    </row>
    <row r="16" spans="1:8" ht="24" outlineLevel="1">
      <c r="A16" s="54" t="str">
        <f>'Приложение 3'!A15</f>
        <v>Закупка товаров, работ и услуг для государственных (муниципальных) нужд</v>
      </c>
      <c r="B16" s="92" t="str">
        <f>'Приложение 3'!C15</f>
        <v>0103</v>
      </c>
      <c r="C16" s="92" t="str">
        <f>'Приложение 3'!D15</f>
        <v>90</v>
      </c>
      <c r="D16" s="92">
        <f>'Приложение 3'!E15</f>
        <v>0</v>
      </c>
      <c r="E16" s="92">
        <f>'Приложение 3'!F15</f>
        <v>200</v>
      </c>
      <c r="F16" s="76">
        <f>SUBTOTAL(9,'Приложение 3'!G15)</f>
        <v>58.412</v>
      </c>
      <c r="G16" s="76">
        <f>SUBTOTAL(9,'Приложение 3'!H15)</f>
        <v>58.412</v>
      </c>
      <c r="H16" s="95">
        <f t="shared" si="0"/>
        <v>100</v>
      </c>
    </row>
    <row r="17" spans="1:8" ht="27.75" customHeight="1" outlineLevel="1">
      <c r="A17" s="54" t="str">
        <f>'Приложение 3'!A16</f>
        <v>Непрограммные расходы органов местного самоуправления Алексеевского муниципального района</v>
      </c>
      <c r="B17" s="92" t="str">
        <f>'Приложение 3'!C16</f>
        <v>0103</v>
      </c>
      <c r="C17" s="92" t="str">
        <f>'Приложение 3'!D16</f>
        <v>99</v>
      </c>
      <c r="D17" s="92">
        <f>'Приложение 3'!E16</f>
        <v>0</v>
      </c>
      <c r="E17" s="94"/>
      <c r="F17" s="76">
        <f>SUBTOTAL(9,'Приложение 3'!G16)</f>
        <v>0</v>
      </c>
      <c r="G17" s="76">
        <f>SUBTOTAL(9,'Приложение 3'!H16)</f>
        <v>0</v>
      </c>
      <c r="H17" s="95">
        <v>0</v>
      </c>
    </row>
    <row r="18" spans="1:8" ht="12.75" outlineLevel="1">
      <c r="A18" s="54" t="str">
        <f>'Приложение 3'!A17</f>
        <v>Иные бюджетные ассигнования</v>
      </c>
      <c r="B18" s="92" t="str">
        <f>'Приложение 3'!C17</f>
        <v>0103</v>
      </c>
      <c r="C18" s="92" t="str">
        <f>'Приложение 3'!D17</f>
        <v>99</v>
      </c>
      <c r="D18" s="92">
        <f>'Приложение 3'!E17</f>
        <v>0</v>
      </c>
      <c r="E18" s="92">
        <f>'Приложение 3'!F17</f>
        <v>800</v>
      </c>
      <c r="F18" s="76">
        <f>SUBTOTAL(9,'Приложение 3'!G17)</f>
        <v>0</v>
      </c>
      <c r="G18" s="76">
        <f>SUBTOTAL(9,'Приложение 3'!H17)</f>
        <v>0</v>
      </c>
      <c r="H18" s="95">
        <v>0</v>
      </c>
    </row>
    <row r="19" spans="1:8" ht="36" outlineLevel="2">
      <c r="A19" s="55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93" t="str">
        <f>'Приложение 3'!C31</f>
        <v>0104</v>
      </c>
      <c r="C19" s="93"/>
      <c r="D19" s="93"/>
      <c r="E19" s="93"/>
      <c r="F19" s="76">
        <f>'Приложение 3'!G31</f>
        <v>28614.950849999994</v>
      </c>
      <c r="G19" s="76">
        <f>'Приложение 3'!H31</f>
        <v>28614.950849999994</v>
      </c>
      <c r="H19" s="95">
        <f t="shared" si="0"/>
        <v>100</v>
      </c>
    </row>
    <row r="20" spans="1:8" s="4" customFormat="1" ht="36" outlineLevel="3">
      <c r="A20" s="55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0" s="93" t="str">
        <f>'Приложение 3'!C32</f>
        <v>0104</v>
      </c>
      <c r="C20" s="93" t="str">
        <f>'Приложение 3'!D32</f>
        <v>90</v>
      </c>
      <c r="D20" s="93">
        <f>'Приложение 3'!E32</f>
        <v>0</v>
      </c>
      <c r="E20" s="93"/>
      <c r="F20" s="76">
        <f>'Приложение 3'!G32</f>
        <v>28568.670849999995</v>
      </c>
      <c r="G20" s="76">
        <f>'Приложение 3'!H32</f>
        <v>28568.670849999995</v>
      </c>
      <c r="H20" s="95">
        <f t="shared" si="0"/>
        <v>100</v>
      </c>
    </row>
    <row r="21" spans="1:8" s="4" customFormat="1" ht="12.75" outlineLevel="3">
      <c r="A21" s="55" t="str">
        <f>'Приложение 3'!A33</f>
        <v>Центральный аппарат</v>
      </c>
      <c r="B21" s="93" t="str">
        <f>'Приложение 3'!C33</f>
        <v>0104</v>
      </c>
      <c r="C21" s="93" t="str">
        <f>'Приложение 3'!D33</f>
        <v>90</v>
      </c>
      <c r="D21" s="93">
        <f>'Приложение 3'!E33</f>
        <v>0</v>
      </c>
      <c r="E21" s="93"/>
      <c r="F21" s="76">
        <f>'Приложение 3'!G33</f>
        <v>26511.070849999996</v>
      </c>
      <c r="G21" s="76">
        <f>'Приложение 3'!H33</f>
        <v>26511.070849999996</v>
      </c>
      <c r="H21" s="95">
        <f t="shared" si="0"/>
        <v>100</v>
      </c>
    </row>
    <row r="22" spans="1:8" s="4" customFormat="1" ht="48" outlineLevel="3">
      <c r="A22" s="55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" s="93" t="str">
        <f>'Приложение 3'!C34</f>
        <v>0104</v>
      </c>
      <c r="C22" s="93" t="str">
        <f>'Приложение 3'!D34</f>
        <v>90</v>
      </c>
      <c r="D22" s="93">
        <f>'Приложение 3'!E34</f>
        <v>0</v>
      </c>
      <c r="E22" s="93">
        <f>'Приложение 3'!F34</f>
        <v>100</v>
      </c>
      <c r="F22" s="76">
        <f>'Приложение 3'!G34</f>
        <v>25184.744789999997</v>
      </c>
      <c r="G22" s="76">
        <f>'Приложение 3'!H34</f>
        <v>25184.744789999997</v>
      </c>
      <c r="H22" s="95">
        <f t="shared" si="0"/>
        <v>100</v>
      </c>
    </row>
    <row r="23" spans="1:8" ht="24" outlineLevel="1">
      <c r="A23" s="55" t="str">
        <f>'Приложение 3'!A35</f>
        <v>Закупка товаров, работ и услуг для государственных (муниципальных) нужд</v>
      </c>
      <c r="B23" s="93" t="str">
        <f>'Приложение 3'!C35</f>
        <v>0104</v>
      </c>
      <c r="C23" s="93" t="str">
        <f>'Приложение 3'!D35</f>
        <v>90</v>
      </c>
      <c r="D23" s="93">
        <f>'Приложение 3'!E35</f>
        <v>0</v>
      </c>
      <c r="E23" s="93">
        <f>'Приложение 3'!F35</f>
        <v>200</v>
      </c>
      <c r="F23" s="76">
        <f>'Приложение 3'!G35</f>
        <v>1326.32606</v>
      </c>
      <c r="G23" s="76">
        <f>'Приложение 3'!H35</f>
        <v>1326.32606</v>
      </c>
      <c r="H23" s="95">
        <f t="shared" si="0"/>
        <v>100</v>
      </c>
    </row>
    <row r="24" spans="1:8" ht="36" outlineLevel="2">
      <c r="A24" s="55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4" s="93" t="str">
        <f>'Приложение 3'!C36</f>
        <v>0104</v>
      </c>
      <c r="C24" s="93" t="str">
        <f>'Приложение 3'!D36</f>
        <v>90</v>
      </c>
      <c r="D24" s="93" t="str">
        <f>'Приложение 3'!E36</f>
        <v>0</v>
      </c>
      <c r="E24" s="93"/>
      <c r="F24" s="76">
        <f>'Приложение 3'!G36</f>
        <v>2057.6</v>
      </c>
      <c r="G24" s="76">
        <f>'Приложение 3'!H36</f>
        <v>2057.6</v>
      </c>
      <c r="H24" s="95">
        <f t="shared" si="0"/>
        <v>100</v>
      </c>
    </row>
    <row r="25" spans="1:8" ht="25.5" customHeight="1" outlineLevel="2">
      <c r="A25" s="55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5" s="93" t="str">
        <f>'Приложение 3'!C37</f>
        <v>0104</v>
      </c>
      <c r="C25" s="93" t="str">
        <f>'Приложение 3'!D37</f>
        <v>90</v>
      </c>
      <c r="D25" s="93" t="str">
        <f>'Приложение 3'!E37</f>
        <v>0</v>
      </c>
      <c r="E25" s="93"/>
      <c r="F25" s="76">
        <f>'Приложение 3'!G37</f>
        <v>297.3</v>
      </c>
      <c r="G25" s="76">
        <f>'Приложение 3'!H37</f>
        <v>297.3</v>
      </c>
      <c r="H25" s="95">
        <f t="shared" si="0"/>
        <v>100</v>
      </c>
    </row>
    <row r="26" spans="1:8" ht="51" customHeight="1" collapsed="1">
      <c r="A26" s="55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" s="93" t="s">
        <v>43</v>
      </c>
      <c r="C26" s="93" t="s">
        <v>11</v>
      </c>
      <c r="D26" s="90">
        <v>0</v>
      </c>
      <c r="E26" s="92">
        <v>100</v>
      </c>
      <c r="F26" s="76">
        <f>'Приложение 3'!G38</f>
        <v>297.3</v>
      </c>
      <c r="G26" s="76">
        <f>'Приложение 3'!H38</f>
        <v>297.3</v>
      </c>
      <c r="H26" s="95">
        <f t="shared" si="0"/>
        <v>100</v>
      </c>
    </row>
    <row r="27" spans="1:8" ht="24" hidden="1" outlineLevel="1">
      <c r="A27" s="55" t="str">
        <f>'Приложение 3'!A39</f>
        <v>Закупка товаров, работ и услуг для государственных (муниципальных) нужд</v>
      </c>
      <c r="B27" s="93" t="str">
        <f>'Приложение 3'!C39</f>
        <v>0104</v>
      </c>
      <c r="C27" s="93" t="str">
        <f>'Приложение 3'!D39</f>
        <v>90</v>
      </c>
      <c r="D27" s="93" t="str">
        <f>'Приложение 3'!E39</f>
        <v>0</v>
      </c>
      <c r="E27" s="93">
        <f>'Приложение 3'!F39</f>
        <v>200</v>
      </c>
      <c r="F27" s="76">
        <f>'Приложение 3'!G39</f>
        <v>0</v>
      </c>
      <c r="G27" s="76">
        <f>'Приложение 3'!H39</f>
        <v>0</v>
      </c>
      <c r="H27" s="95" t="e">
        <f t="shared" si="0"/>
        <v>#DIV/0!</v>
      </c>
    </row>
    <row r="28" spans="1:8" ht="24" outlineLevel="2">
      <c r="A28" s="55" t="str">
        <f>'Приложение 3'!A40</f>
        <v>За счет субвенции на организацию и осуществление деятельности по опеке и попечительству</v>
      </c>
      <c r="B28" s="93" t="str">
        <f>'Приложение 3'!C40</f>
        <v>0104</v>
      </c>
      <c r="C28" s="93" t="str">
        <f>'Приложение 3'!D40</f>
        <v>90</v>
      </c>
      <c r="D28" s="93" t="str">
        <f>'Приложение 3'!E40</f>
        <v>0</v>
      </c>
      <c r="E28" s="93"/>
      <c r="F28" s="76">
        <f>'Приложение 3'!G40</f>
        <v>1002.9999999999999</v>
      </c>
      <c r="G28" s="76">
        <f>'Приложение 3'!H40</f>
        <v>1002.9999999999999</v>
      </c>
      <c r="H28" s="95">
        <f t="shared" si="0"/>
        <v>100</v>
      </c>
    </row>
    <row r="29" spans="1:8" ht="48" outlineLevel="1">
      <c r="A29" s="55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" s="93" t="str">
        <f>'Приложение 3'!C41</f>
        <v>0104</v>
      </c>
      <c r="C29" s="93" t="str">
        <f>'Приложение 3'!D41</f>
        <v>90</v>
      </c>
      <c r="D29" s="93" t="str">
        <f>'Приложение 3'!E41</f>
        <v>0</v>
      </c>
      <c r="E29" s="93">
        <f>'Приложение 3'!F41</f>
        <v>100</v>
      </c>
      <c r="F29" s="76">
        <f>'Приложение 3'!G41</f>
        <v>776.5839699999999</v>
      </c>
      <c r="G29" s="76">
        <f>'Приложение 3'!H41</f>
        <v>776.5839699999999</v>
      </c>
      <c r="H29" s="95">
        <f t="shared" si="0"/>
        <v>100</v>
      </c>
    </row>
    <row r="30" spans="1:8" ht="24" outlineLevel="5">
      <c r="A30" s="55" t="str">
        <f>'Приложение 3'!A42</f>
        <v>Закупка товаров, работ и услуг для государственных (муниципальных) нужд</v>
      </c>
      <c r="B30" s="93" t="str">
        <f>'Приложение 3'!C42</f>
        <v>0104</v>
      </c>
      <c r="C30" s="93" t="str">
        <f>'Приложение 3'!D42</f>
        <v>90</v>
      </c>
      <c r="D30" s="93" t="str">
        <f>'Приложение 3'!E42</f>
        <v>0</v>
      </c>
      <c r="E30" s="93">
        <f>'Приложение 3'!F42</f>
        <v>200</v>
      </c>
      <c r="F30" s="76">
        <f>'Приложение 3'!G42</f>
        <v>226.41602999999998</v>
      </c>
      <c r="G30" s="76">
        <f>'Приложение 3'!H42</f>
        <v>226.41602999999998</v>
      </c>
      <c r="H30" s="95">
        <f t="shared" si="0"/>
        <v>100</v>
      </c>
    </row>
    <row r="31" spans="1:8" ht="39.75" customHeight="1" outlineLevel="5">
      <c r="A31" s="55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1" s="93" t="str">
        <f>'Приложение 3'!C43</f>
        <v>0104</v>
      </c>
      <c r="C31" s="93" t="str">
        <f>'Приложение 3'!D43</f>
        <v>90</v>
      </c>
      <c r="D31" s="93" t="str">
        <f>'Приложение 3'!E43</f>
        <v>0</v>
      </c>
      <c r="E31" s="93"/>
      <c r="F31" s="76">
        <f>'Приложение 3'!G43</f>
        <v>317.5</v>
      </c>
      <c r="G31" s="76">
        <f>'Приложение 3'!H43</f>
        <v>317.5</v>
      </c>
      <c r="H31" s="95">
        <f t="shared" si="0"/>
        <v>100</v>
      </c>
    </row>
    <row r="32" spans="1:8" ht="48" outlineLevel="5">
      <c r="A32" s="55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" s="93" t="str">
        <f>'Приложение 3'!C44</f>
        <v>0104</v>
      </c>
      <c r="C32" s="93" t="str">
        <f>'Приложение 3'!D44</f>
        <v>90</v>
      </c>
      <c r="D32" s="93" t="str">
        <f>'Приложение 3'!E44</f>
        <v>0</v>
      </c>
      <c r="E32" s="93">
        <f>'Приложение 3'!F44</f>
        <v>100</v>
      </c>
      <c r="F32" s="76">
        <f>'Приложение 3'!G44</f>
        <v>317.5</v>
      </c>
      <c r="G32" s="76">
        <f>'Приложение 3'!H44</f>
        <v>317.5</v>
      </c>
      <c r="H32" s="95">
        <f t="shared" si="0"/>
        <v>100</v>
      </c>
    </row>
    <row r="33" spans="1:8" ht="24" hidden="1" outlineLevel="2">
      <c r="A33" s="55" t="str">
        <f>'Приложение 3'!A45</f>
        <v>Закупка товаров, работ и услуг для государственных (муниципальных) нужд</v>
      </c>
      <c r="B33" s="93" t="str">
        <f>'Приложение 3'!C45</f>
        <v>0104</v>
      </c>
      <c r="C33" s="93" t="str">
        <f>'Приложение 3'!D45</f>
        <v>90</v>
      </c>
      <c r="D33" s="93" t="str">
        <f>'Приложение 3'!E45</f>
        <v>0</v>
      </c>
      <c r="E33" s="93">
        <f>'Приложение 3'!F45</f>
        <v>200</v>
      </c>
      <c r="F33" s="76">
        <f>'Приложение 3'!G45</f>
        <v>0</v>
      </c>
      <c r="G33" s="76">
        <f>'Приложение 3'!H45</f>
        <v>0</v>
      </c>
      <c r="H33" s="95" t="e">
        <f t="shared" si="0"/>
        <v>#DIV/0!</v>
      </c>
    </row>
    <row r="34" spans="1:8" ht="48" outlineLevel="4">
      <c r="A34" s="55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4" s="93" t="str">
        <f>'Приложение 3'!C46</f>
        <v>0104</v>
      </c>
      <c r="C34" s="93" t="str">
        <f>'Приложение 3'!D46</f>
        <v>90</v>
      </c>
      <c r="D34" s="93" t="str">
        <f>'Приложение 3'!E46</f>
        <v>0</v>
      </c>
      <c r="E34" s="93"/>
      <c r="F34" s="76">
        <f>'Приложение 3'!G46</f>
        <v>439.79999999999995</v>
      </c>
      <c r="G34" s="76">
        <f>'Приложение 3'!H46</f>
        <v>439.79999999999995</v>
      </c>
      <c r="H34" s="95">
        <f t="shared" si="0"/>
        <v>100</v>
      </c>
    </row>
    <row r="35" spans="1:8" ht="48" outlineLevel="4">
      <c r="A35" s="55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93" t="str">
        <f>'Приложение 3'!C47</f>
        <v>0104</v>
      </c>
      <c r="C35" s="93" t="str">
        <f>'Приложение 3'!D47</f>
        <v>90</v>
      </c>
      <c r="D35" s="93" t="str">
        <f>'Приложение 3'!E47</f>
        <v>0</v>
      </c>
      <c r="E35" s="93">
        <f>'Приложение 3'!F47</f>
        <v>100</v>
      </c>
      <c r="F35" s="76">
        <f>'Приложение 3'!G47</f>
        <v>42.53893</v>
      </c>
      <c r="G35" s="76">
        <f>'Приложение 3'!H47</f>
        <v>42.53893</v>
      </c>
      <c r="H35" s="95">
        <f t="shared" si="0"/>
        <v>100</v>
      </c>
    </row>
    <row r="36" spans="1:8" ht="24" outlineLevel="5">
      <c r="A36" s="55" t="str">
        <f>'Приложение 3'!A48</f>
        <v>Закупка товаров, работ и услуг для государственных (муниципальных) нужд</v>
      </c>
      <c r="B36" s="93" t="str">
        <f>'Приложение 3'!C48</f>
        <v>0104</v>
      </c>
      <c r="C36" s="93" t="str">
        <f>'Приложение 3'!D48</f>
        <v>90</v>
      </c>
      <c r="D36" s="93" t="str">
        <f>'Приложение 3'!E48</f>
        <v>0</v>
      </c>
      <c r="E36" s="93">
        <f>'Приложение 3'!F48</f>
        <v>200</v>
      </c>
      <c r="F36" s="76">
        <f>'Приложение 3'!G48</f>
        <v>397.26106999999996</v>
      </c>
      <c r="G36" s="76">
        <f>'Приложение 3'!H48</f>
        <v>397.26106999999996</v>
      </c>
      <c r="H36" s="95">
        <f t="shared" si="0"/>
        <v>100</v>
      </c>
    </row>
    <row r="37" spans="1:8" ht="36" outlineLevel="4">
      <c r="A37" s="55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7" s="93" t="str">
        <f>'Приложение 3'!C49</f>
        <v>0104</v>
      </c>
      <c r="C37" s="93" t="str">
        <f>'Приложение 3'!D49</f>
        <v>01</v>
      </c>
      <c r="D37" s="93">
        <f>'Приложение 3'!E49</f>
        <v>0</v>
      </c>
      <c r="E37" s="93"/>
      <c r="F37" s="76">
        <f>'Приложение 3'!G49</f>
        <v>46.28</v>
      </c>
      <c r="G37" s="76">
        <f>'Приложение 3'!H49</f>
        <v>46.28</v>
      </c>
      <c r="H37" s="95">
        <f t="shared" si="0"/>
        <v>100</v>
      </c>
    </row>
    <row r="38" spans="1:8" ht="27" customHeight="1" outlineLevel="4">
      <c r="A38" s="55" t="str">
        <f>'Приложение 3'!A50</f>
        <v>Закупка товаров, работ и услуг для государственных (муниципальных) нужд</v>
      </c>
      <c r="B38" s="93" t="str">
        <f>'Приложение 3'!C50</f>
        <v>0104</v>
      </c>
      <c r="C38" s="93" t="str">
        <f>'Приложение 3'!D50</f>
        <v>01</v>
      </c>
      <c r="D38" s="93">
        <f>'Приложение 3'!E50</f>
        <v>0</v>
      </c>
      <c r="E38" s="93">
        <f>'Приложение 3'!F50</f>
        <v>200</v>
      </c>
      <c r="F38" s="76">
        <f>'Приложение 3'!G50</f>
        <v>46.28</v>
      </c>
      <c r="G38" s="76">
        <f>'Приложение 3'!H50</f>
        <v>46.28</v>
      </c>
      <c r="H38" s="95">
        <f t="shared" si="0"/>
        <v>100</v>
      </c>
    </row>
    <row r="39" spans="1:8" ht="15" customHeight="1" hidden="1" outlineLevel="4">
      <c r="A39" s="55" t="str">
        <f>'Приложение 3'!A51</f>
        <v>Судебная система</v>
      </c>
      <c r="B39" s="93" t="str">
        <f>'Приложение 3'!C51</f>
        <v>0105</v>
      </c>
      <c r="C39" s="93"/>
      <c r="D39" s="93"/>
      <c r="E39" s="93"/>
      <c r="F39" s="76">
        <f>'Приложение 3'!G51</f>
        <v>0</v>
      </c>
      <c r="G39" s="76">
        <f>'Приложение 3'!H51</f>
        <v>0</v>
      </c>
      <c r="H39" s="95" t="e">
        <f t="shared" si="0"/>
        <v>#DIV/0!</v>
      </c>
    </row>
    <row r="40" spans="1:8" ht="27" customHeight="1" hidden="1" outlineLevel="4">
      <c r="A40" s="55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0" s="93" t="str">
        <f>'Приложение 3'!C52</f>
        <v>0105</v>
      </c>
      <c r="C40" s="93" t="str">
        <f>'Приложение 3'!D52</f>
        <v>99</v>
      </c>
      <c r="D40" s="93">
        <f>'Приложение 3'!E52</f>
        <v>0</v>
      </c>
      <c r="E40" s="93"/>
      <c r="F40" s="76">
        <f>'Приложение 3'!G52</f>
        <v>0</v>
      </c>
      <c r="G40" s="76">
        <f>'Приложение 3'!H52</f>
        <v>0</v>
      </c>
      <c r="H40" s="95" t="e">
        <f t="shared" si="0"/>
        <v>#DIV/0!</v>
      </c>
    </row>
    <row r="41" spans="1:8" ht="27" customHeight="1" hidden="1" outlineLevel="4">
      <c r="A41" s="55" t="str">
        <f>'Приложение 3'!A53</f>
        <v>Непрограммные расходы органов местного самоуправления Алексеевского муниципального района</v>
      </c>
      <c r="B41" s="93" t="str">
        <f>'Приложение 3'!C53</f>
        <v>0105</v>
      </c>
      <c r="C41" s="93" t="str">
        <f>'Приложение 3'!D53</f>
        <v>99</v>
      </c>
      <c r="D41" s="93">
        <f>'Приложение 3'!E53</f>
        <v>0</v>
      </c>
      <c r="E41" s="93"/>
      <c r="F41" s="76">
        <f>'Приложение 3'!G53</f>
        <v>0</v>
      </c>
      <c r="G41" s="76">
        <f>'Приложение 3'!H53</f>
        <v>0</v>
      </c>
      <c r="H41" s="95" t="e">
        <f t="shared" si="0"/>
        <v>#DIV/0!</v>
      </c>
    </row>
    <row r="42" spans="1:8" ht="27" customHeight="1" hidden="1" outlineLevel="4">
      <c r="A42" s="55" t="str">
        <f>'Приложение 3'!A54</f>
        <v>Закупка товаров, работ и услуг для государственных (муниципальных) нужд</v>
      </c>
      <c r="B42" s="93" t="str">
        <f>'Приложение 3'!C54</f>
        <v>0105</v>
      </c>
      <c r="C42" s="93" t="str">
        <f>'Приложение 3'!D54</f>
        <v>99</v>
      </c>
      <c r="D42" s="93">
        <f>'Приложение 3'!E54</f>
        <v>0</v>
      </c>
      <c r="E42" s="93">
        <f>'Приложение 3'!F54</f>
        <v>200</v>
      </c>
      <c r="F42" s="76">
        <f>'Приложение 3'!G54</f>
        <v>0</v>
      </c>
      <c r="G42" s="76">
        <f>'Приложение 3'!H54</f>
        <v>0</v>
      </c>
      <c r="H42" s="95" t="e">
        <f t="shared" si="0"/>
        <v>#DIV/0!</v>
      </c>
    </row>
    <row r="43" spans="1:8" ht="36" outlineLevel="2">
      <c r="A43" s="54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3" s="93" t="str">
        <f>'Приложение 3'!C20</f>
        <v>0106</v>
      </c>
      <c r="C43" s="93"/>
      <c r="D43" s="93"/>
      <c r="E43" s="93"/>
      <c r="F43" s="76">
        <f>'Приложение 3'!G19</f>
        <v>1354.58524</v>
      </c>
      <c r="G43" s="76">
        <f>'Приложение 3'!H19</f>
        <v>1354.58524</v>
      </c>
      <c r="H43" s="95">
        <f t="shared" si="0"/>
        <v>100</v>
      </c>
    </row>
    <row r="44" spans="1:8" ht="36" outlineLevel="2">
      <c r="A44" s="54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4" s="93" t="str">
        <f>'Приложение 3'!C21</f>
        <v>0106</v>
      </c>
      <c r="C44" s="93" t="str">
        <f>'Приложение 3'!D21</f>
        <v>90</v>
      </c>
      <c r="D44" s="93" t="str">
        <f>'Приложение 3'!E21</f>
        <v>0</v>
      </c>
      <c r="E44" s="93"/>
      <c r="F44" s="76">
        <f>'Приложение 3'!G20</f>
        <v>1354.58524</v>
      </c>
      <c r="G44" s="76">
        <f>'Приложение 3'!H20</f>
        <v>1354.58524</v>
      </c>
      <c r="H44" s="95">
        <f t="shared" si="0"/>
        <v>100</v>
      </c>
    </row>
    <row r="45" spans="1:8" ht="48" outlineLevel="2">
      <c r="A45" s="54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93" t="str">
        <f>'Приложение 3'!C22</f>
        <v>0106</v>
      </c>
      <c r="C45" s="93" t="str">
        <f>'Приложение 3'!D22</f>
        <v>90</v>
      </c>
      <c r="D45" s="93" t="str">
        <f>'Приложение 3'!E22</f>
        <v>0</v>
      </c>
      <c r="E45" s="93">
        <f>'Приложение 3'!F22</f>
        <v>100</v>
      </c>
      <c r="F45" s="76">
        <f>'Приложение 3'!G22</f>
        <v>1331.90984</v>
      </c>
      <c r="G45" s="76">
        <f>'Приложение 3'!H22</f>
        <v>1331.90984</v>
      </c>
      <c r="H45" s="95">
        <f t="shared" si="0"/>
        <v>100</v>
      </c>
    </row>
    <row r="46" spans="1:8" ht="24" outlineLevel="2">
      <c r="A46" s="54" t="str">
        <f>'Приложение 3'!A23</f>
        <v>Закупка товаров, работ и услуг для государственных (муниципальных) нужд</v>
      </c>
      <c r="B46" s="93" t="str">
        <f>'Приложение 3'!C23</f>
        <v>0106</v>
      </c>
      <c r="C46" s="93" t="str">
        <f>'Приложение 3'!D23</f>
        <v>90</v>
      </c>
      <c r="D46" s="93">
        <f>'Приложение 3'!E23</f>
        <v>0</v>
      </c>
      <c r="E46" s="93">
        <f>'Приложение 3'!F23</f>
        <v>200</v>
      </c>
      <c r="F46" s="76">
        <f>'Приложение 3'!G23</f>
        <v>17.6754</v>
      </c>
      <c r="G46" s="76">
        <f>'Приложение 3'!H23</f>
        <v>17.6754</v>
      </c>
      <c r="H46" s="95">
        <f t="shared" si="0"/>
        <v>100</v>
      </c>
    </row>
    <row r="47" spans="1:8" ht="28.5" customHeight="1" outlineLevel="2">
      <c r="A47" s="54" t="str">
        <f>'Приложение 3'!A24</f>
        <v>Непрограммные расходы органов местного самоуправления Алексеевского муниципального района</v>
      </c>
      <c r="B47" s="93" t="str">
        <f>'Приложение 3'!C24</f>
        <v>0106</v>
      </c>
      <c r="C47" s="93" t="str">
        <f>'Приложение 3'!D24</f>
        <v>99</v>
      </c>
      <c r="D47" s="93">
        <f>'Приложение 3'!E24</f>
        <v>0</v>
      </c>
      <c r="E47" s="93"/>
      <c r="F47" s="76">
        <f>'Приложение 3'!G24</f>
        <v>5</v>
      </c>
      <c r="G47" s="76">
        <f>'Приложение 3'!H24</f>
        <v>5</v>
      </c>
      <c r="H47" s="95">
        <f t="shared" si="0"/>
        <v>100</v>
      </c>
    </row>
    <row r="48" spans="1:8" ht="12.75" outlineLevel="2">
      <c r="A48" s="54" t="str">
        <f>'Приложение 3'!A25</f>
        <v>Иные бюджетные ассигнования</v>
      </c>
      <c r="B48" s="93" t="str">
        <f>'Приложение 3'!C25</f>
        <v>0106</v>
      </c>
      <c r="C48" s="93" t="str">
        <f>'Приложение 3'!D25</f>
        <v>99</v>
      </c>
      <c r="D48" s="93">
        <f>'Приложение 3'!E25</f>
        <v>0</v>
      </c>
      <c r="E48" s="93">
        <f>'Приложение 3'!F25</f>
        <v>800</v>
      </c>
      <c r="F48" s="76">
        <f>'Приложение 3'!G25</f>
        <v>5</v>
      </c>
      <c r="G48" s="76">
        <f>'Приложение 3'!H25</f>
        <v>5</v>
      </c>
      <c r="H48" s="95">
        <f t="shared" si="0"/>
        <v>100</v>
      </c>
    </row>
    <row r="49" spans="1:8" ht="12.75" outlineLevel="2">
      <c r="A49" s="54" t="str">
        <f>'Приложение 3'!A55</f>
        <v>Обеспечение проведения выборов и референдумов</v>
      </c>
      <c r="B49" s="93" t="str">
        <f>'Приложение 3'!C55</f>
        <v>0107</v>
      </c>
      <c r="C49" s="93">
        <f>'Приложение 3'!D55</f>
        <v>0</v>
      </c>
      <c r="D49" s="93">
        <f>'Приложение 3'!E55</f>
        <v>0</v>
      </c>
      <c r="E49" s="93"/>
      <c r="F49" s="76">
        <f>'Приложение 3'!G55</f>
        <v>0</v>
      </c>
      <c r="G49" s="76">
        <f>'Приложение 3'!H55</f>
        <v>0</v>
      </c>
      <c r="H49" s="95">
        <v>0</v>
      </c>
    </row>
    <row r="50" spans="1:8" ht="12.75" outlineLevel="2">
      <c r="A50" s="54" t="str">
        <f>'Приложение 3'!A56</f>
        <v>Проведение выборов и референдумов</v>
      </c>
      <c r="B50" s="93" t="str">
        <f>'Приложение 3'!C56</f>
        <v>0107</v>
      </c>
      <c r="C50" s="93" t="str">
        <f>'Приложение 3'!D56</f>
        <v>99</v>
      </c>
      <c r="D50" s="93" t="str">
        <f>'Приложение 3'!E56</f>
        <v>0</v>
      </c>
      <c r="E50" s="93"/>
      <c r="F50" s="76">
        <f>'Приложение 3'!G56</f>
        <v>0</v>
      </c>
      <c r="G50" s="76">
        <f>'Приложение 3'!H56</f>
        <v>0</v>
      </c>
      <c r="H50" s="95">
        <v>0</v>
      </c>
    </row>
    <row r="51" spans="1:8" ht="30" customHeight="1" outlineLevel="5">
      <c r="A51" s="54" t="str">
        <f>'Приложение 3'!A57</f>
        <v>Непрограммные расходы органов местного самоуправления Алексеевского муниципального района</v>
      </c>
      <c r="B51" s="93" t="str">
        <f>'Приложение 3'!C57</f>
        <v>0107</v>
      </c>
      <c r="C51" s="93" t="str">
        <f>'Приложение 3'!D57</f>
        <v>99</v>
      </c>
      <c r="D51" s="93" t="str">
        <f>'Приложение 3'!E57</f>
        <v>0</v>
      </c>
      <c r="E51" s="93"/>
      <c r="F51" s="76">
        <f>'Приложение 3'!G57</f>
        <v>0</v>
      </c>
      <c r="G51" s="76">
        <f>'Приложение 3'!H57</f>
        <v>0</v>
      </c>
      <c r="H51" s="95">
        <v>0</v>
      </c>
    </row>
    <row r="52" spans="1:8" ht="24" outlineLevel="5">
      <c r="A52" s="54" t="str">
        <f>'Приложение 3'!A58</f>
        <v>Закупка товаров, работ и услуг для государственных (муниципальных) нужд</v>
      </c>
      <c r="B52" s="93" t="str">
        <f>'Приложение 3'!C58</f>
        <v>0107</v>
      </c>
      <c r="C52" s="93" t="str">
        <f>'Приложение 3'!D58</f>
        <v>99</v>
      </c>
      <c r="D52" s="93">
        <f>'Приложение 3'!E58</f>
        <v>0</v>
      </c>
      <c r="E52" s="93">
        <f>'Приложение 3'!F58</f>
        <v>200</v>
      </c>
      <c r="F52" s="76">
        <f>'Приложение 3'!G58</f>
        <v>0</v>
      </c>
      <c r="G52" s="76">
        <f>'Приложение 3'!H58</f>
        <v>0</v>
      </c>
      <c r="H52" s="95">
        <v>0</v>
      </c>
    </row>
    <row r="53" spans="1:8" ht="12.75" outlineLevel="5">
      <c r="A53" s="54" t="str">
        <f>'Приложение 3'!A59</f>
        <v>Резервные фонды</v>
      </c>
      <c r="B53" s="93" t="str">
        <f>'Приложение 3'!C59</f>
        <v>0111</v>
      </c>
      <c r="C53" s="93"/>
      <c r="D53" s="93"/>
      <c r="E53" s="93"/>
      <c r="F53" s="76">
        <f>'Приложение 3'!G59</f>
        <v>0</v>
      </c>
      <c r="G53" s="76">
        <f>'Приложение 3'!H59</f>
        <v>0</v>
      </c>
      <c r="H53" s="95">
        <v>0</v>
      </c>
    </row>
    <row r="54" spans="1:8" ht="28.5" customHeight="1" outlineLevel="1">
      <c r="A54" s="54" t="str">
        <f>'Приложение 3'!A60</f>
        <v>Непрограммные расходы органов местного самоуправления Алексеевского муниципального района</v>
      </c>
      <c r="B54" s="93" t="str">
        <f>'Приложение 3'!C60</f>
        <v>0111</v>
      </c>
      <c r="C54" s="93" t="str">
        <f>'Приложение 3'!D60</f>
        <v>99</v>
      </c>
      <c r="D54" s="93" t="str">
        <f>'Приложение 3'!E60</f>
        <v>0</v>
      </c>
      <c r="E54" s="93"/>
      <c r="F54" s="76">
        <f>'Приложение 3'!G60</f>
        <v>0</v>
      </c>
      <c r="G54" s="76">
        <f>'Приложение 3'!H60</f>
        <v>0</v>
      </c>
      <c r="H54" s="95">
        <v>0</v>
      </c>
    </row>
    <row r="55" spans="1:8" ht="17.25" customHeight="1" outlineLevel="2">
      <c r="A55" s="54" t="str">
        <f>'Приложение 3'!A61</f>
        <v>Иные бюджетные ассигнования</v>
      </c>
      <c r="B55" s="93" t="str">
        <f>'Приложение 3'!C61</f>
        <v>0111</v>
      </c>
      <c r="C55" s="93" t="str">
        <f>'Приложение 3'!D61</f>
        <v>99</v>
      </c>
      <c r="D55" s="93" t="str">
        <f>'Приложение 3'!E61</f>
        <v>0</v>
      </c>
      <c r="E55" s="93">
        <f>'Приложение 3'!F61</f>
        <v>800</v>
      </c>
      <c r="F55" s="76">
        <f>'Приложение 3'!G61</f>
        <v>0</v>
      </c>
      <c r="G55" s="76">
        <f>'Приложение 3'!H61</f>
        <v>0</v>
      </c>
      <c r="H55" s="95">
        <v>0</v>
      </c>
    </row>
    <row r="56" spans="1:8" ht="15" customHeight="1" outlineLevel="2">
      <c r="A56" s="54" t="str">
        <f>'Приложение 3'!A62</f>
        <v>Другие общегосударственные вопросы</v>
      </c>
      <c r="B56" s="93" t="str">
        <f>'Приложение 3'!C62</f>
        <v>0113</v>
      </c>
      <c r="C56" s="93"/>
      <c r="D56" s="93"/>
      <c r="E56" s="93"/>
      <c r="F56" s="76">
        <f>'Приложение 3'!G62</f>
        <v>49419.57798999999</v>
      </c>
      <c r="G56" s="76">
        <f>'Приложение 3'!H62</f>
        <v>49196.9266</v>
      </c>
      <c r="H56" s="95">
        <f t="shared" si="0"/>
        <v>99.54946723736685</v>
      </c>
    </row>
    <row r="57" spans="1:8" ht="41.25" customHeight="1" outlineLevel="2">
      <c r="A57" s="54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7" s="93" t="str">
        <f>'Приложение 3'!C63</f>
        <v>0113</v>
      </c>
      <c r="C57" s="93" t="str">
        <f>'Приложение 3'!D63</f>
        <v>02</v>
      </c>
      <c r="D57" s="93">
        <f>'Приложение 3'!E63</f>
        <v>0</v>
      </c>
      <c r="E57" s="93"/>
      <c r="F57" s="76">
        <f>'Приложение 3'!G63</f>
        <v>2478.8364599999995</v>
      </c>
      <c r="G57" s="76">
        <f>'Приложение 3'!H63</f>
        <v>2478.8364599999995</v>
      </c>
      <c r="H57" s="95">
        <f t="shared" si="0"/>
        <v>100</v>
      </c>
    </row>
    <row r="58" spans="1:8" ht="36" outlineLevel="2">
      <c r="A58" s="54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8" s="93" t="str">
        <f>'Приложение 3'!C64</f>
        <v>0113</v>
      </c>
      <c r="C58" s="93" t="str">
        <f>'Приложение 3'!D64</f>
        <v>02</v>
      </c>
      <c r="D58" s="93">
        <f>'Приложение 3'!E64</f>
        <v>3</v>
      </c>
      <c r="E58" s="93"/>
      <c r="F58" s="76">
        <f>'Приложение 3'!G64</f>
        <v>2319.8754599999997</v>
      </c>
      <c r="G58" s="76">
        <f>'Приложение 3'!H64</f>
        <v>2319.8754599999997</v>
      </c>
      <c r="H58" s="95">
        <f t="shared" si="0"/>
        <v>100</v>
      </c>
    </row>
    <row r="59" spans="1:8" ht="24" outlineLevel="2">
      <c r="A59" s="54" t="str">
        <f>'Приложение 3'!A65</f>
        <v>Предоставление субсидий бюджетным, автономным учреждениям и иным некоммерческим организациям</v>
      </c>
      <c r="B59" s="93" t="str">
        <f>'Приложение 3'!C65</f>
        <v>0113</v>
      </c>
      <c r="C59" s="93" t="str">
        <f>'Приложение 3'!D65</f>
        <v>02</v>
      </c>
      <c r="D59" s="93">
        <f>'Приложение 3'!E65</f>
        <v>3</v>
      </c>
      <c r="E59" s="93" t="s">
        <v>190</v>
      </c>
      <c r="F59" s="76">
        <f>'Приложение 3'!G65</f>
        <v>2319.8754599999997</v>
      </c>
      <c r="G59" s="76">
        <f>'Приложение 3'!H65</f>
        <v>2319.8754599999997</v>
      </c>
      <c r="H59" s="95">
        <f t="shared" si="0"/>
        <v>100</v>
      </c>
    </row>
    <row r="60" spans="1:8" ht="40.5" customHeight="1" outlineLevel="2">
      <c r="A60" s="54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0" s="93" t="str">
        <f>'Приложение 3'!C66</f>
        <v>0113</v>
      </c>
      <c r="C60" s="93" t="str">
        <f>'Приложение 3'!D66</f>
        <v>02</v>
      </c>
      <c r="D60" s="93">
        <f>'Приложение 3'!E66</f>
        <v>4</v>
      </c>
      <c r="E60" s="93"/>
      <c r="F60" s="76">
        <f>'Приложение 3'!G66</f>
        <v>158.961</v>
      </c>
      <c r="G60" s="76">
        <f>'Приложение 3'!H66</f>
        <v>158.961</v>
      </c>
      <c r="H60" s="95">
        <f t="shared" si="0"/>
        <v>100</v>
      </c>
    </row>
    <row r="61" spans="1:8" ht="27" customHeight="1" outlineLevel="2">
      <c r="A61" s="54" t="str">
        <f>'Приложение 3'!A67</f>
        <v>Предоставление субсидий бюджетным, автономным учреждениям и иным некоммерческим организациям</v>
      </c>
      <c r="B61" s="93" t="str">
        <f>'Приложение 3'!C67</f>
        <v>0113</v>
      </c>
      <c r="C61" s="93" t="str">
        <f>'Приложение 3'!D67</f>
        <v>02</v>
      </c>
      <c r="D61" s="93">
        <f>'Приложение 3'!E67</f>
        <v>4</v>
      </c>
      <c r="E61" s="93">
        <f>'Приложение 3'!F67</f>
        <v>600</v>
      </c>
      <c r="F61" s="76">
        <f>'Приложение 3'!G67</f>
        <v>158.961</v>
      </c>
      <c r="G61" s="76">
        <f>'Приложение 3'!H67</f>
        <v>158.961</v>
      </c>
      <c r="H61" s="95">
        <f t="shared" si="0"/>
        <v>100</v>
      </c>
    </row>
    <row r="62" spans="1:8" ht="24" outlineLevel="2">
      <c r="A62" s="54" t="str">
        <f>'Приложение 3'!A68</f>
        <v>Муниципальная программа "Маршрут Победы на 2019-2023 годы"</v>
      </c>
      <c r="B62" s="93" t="str">
        <f>'Приложение 3'!C68</f>
        <v>0113</v>
      </c>
      <c r="C62" s="93" t="str">
        <f>'Приложение 3'!D68</f>
        <v>15</v>
      </c>
      <c r="D62" s="93">
        <f>'Приложение 3'!E68</f>
        <v>0</v>
      </c>
      <c r="E62" s="93"/>
      <c r="F62" s="76">
        <f>'Приложение 3'!G68</f>
        <v>100</v>
      </c>
      <c r="G62" s="76">
        <f>'Приложение 3'!H68</f>
        <v>100</v>
      </c>
      <c r="H62" s="95">
        <f t="shared" si="0"/>
        <v>100</v>
      </c>
    </row>
    <row r="63" spans="1:8" ht="24" outlineLevel="2">
      <c r="A63" s="54" t="str">
        <f>'Приложение 3'!A69</f>
        <v>Закупка товаров, работ и услуг для государственных (муниципальных) нужд</v>
      </c>
      <c r="B63" s="93" t="str">
        <f>'Приложение 3'!C69</f>
        <v>0113</v>
      </c>
      <c r="C63" s="93" t="str">
        <f>'Приложение 3'!D69</f>
        <v>15</v>
      </c>
      <c r="D63" s="93">
        <f>'Приложение 3'!E69</f>
        <v>0</v>
      </c>
      <c r="E63" s="93">
        <f>'Приложение 3'!F69</f>
        <v>200</v>
      </c>
      <c r="F63" s="76">
        <f>'Приложение 3'!G69</f>
        <v>100</v>
      </c>
      <c r="G63" s="76">
        <f>'Приложение 3'!H69</f>
        <v>100</v>
      </c>
      <c r="H63" s="95">
        <f t="shared" si="0"/>
        <v>100</v>
      </c>
    </row>
    <row r="64" spans="1:8" ht="36" outlineLevel="2">
      <c r="A64" s="54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4" s="93" t="str">
        <f>'Приложение 3'!C70</f>
        <v>0113</v>
      </c>
      <c r="C64" s="93" t="str">
        <f>'Приложение 3'!D70</f>
        <v>20</v>
      </c>
      <c r="D64" s="93">
        <f>'Приложение 3'!E70</f>
        <v>0</v>
      </c>
      <c r="E64" s="93"/>
      <c r="F64" s="76">
        <f>'Приложение 3'!G70</f>
        <v>39.5</v>
      </c>
      <c r="G64" s="76">
        <f>'Приложение 3'!H70</f>
        <v>39.5</v>
      </c>
      <c r="H64" s="95">
        <f t="shared" si="0"/>
        <v>100</v>
      </c>
    </row>
    <row r="65" spans="1:8" ht="15" customHeight="1" outlineLevel="2">
      <c r="A65" s="54" t="str">
        <f>'Приложение 3'!A71</f>
        <v>Подпрограмма "Профилактика правонарушений"</v>
      </c>
      <c r="B65" s="93" t="str">
        <f>'Приложение 3'!C71</f>
        <v>0113</v>
      </c>
      <c r="C65" s="93" t="str">
        <f>'Приложение 3'!D71</f>
        <v>20</v>
      </c>
      <c r="D65" s="93">
        <f>'Приложение 3'!E71</f>
        <v>1</v>
      </c>
      <c r="E65" s="93"/>
      <c r="F65" s="76">
        <f>'Приложение 3'!G71</f>
        <v>39.5</v>
      </c>
      <c r="G65" s="76">
        <f>'Приложение 3'!H71</f>
        <v>39.5</v>
      </c>
      <c r="H65" s="95">
        <f t="shared" si="0"/>
        <v>100</v>
      </c>
    </row>
    <row r="66" spans="1:8" ht="24" outlineLevel="2">
      <c r="A66" s="54" t="str">
        <f>'Приложение 3'!A72</f>
        <v>Закупка товаров, работ и услуг для государственных (муниципальных) нужд</v>
      </c>
      <c r="B66" s="93" t="str">
        <f>'Приложение 3'!C72</f>
        <v>0113</v>
      </c>
      <c r="C66" s="93" t="str">
        <f>'Приложение 3'!D72</f>
        <v>20</v>
      </c>
      <c r="D66" s="93">
        <f>'Приложение 3'!E72</f>
        <v>1</v>
      </c>
      <c r="E66" s="93">
        <f>'Приложение 3'!F72</f>
        <v>200</v>
      </c>
      <c r="F66" s="76">
        <f>'Приложение 3'!G72</f>
        <v>39.5</v>
      </c>
      <c r="G66" s="76">
        <f>'Приложение 3'!H72</f>
        <v>39.5</v>
      </c>
      <c r="H66" s="95">
        <f t="shared" si="0"/>
        <v>100</v>
      </c>
    </row>
    <row r="67" spans="1:8" ht="24" outlineLevel="2">
      <c r="A67" s="54" t="str">
        <f>'Приложение 3'!A73</f>
        <v>Подпрограмма "Формирование законопослушного поведения участников дорожного движения"</v>
      </c>
      <c r="B67" s="93" t="str">
        <f>'Приложение 3'!C73</f>
        <v>0113</v>
      </c>
      <c r="C67" s="93" t="str">
        <f>'Приложение 3'!D73</f>
        <v>20</v>
      </c>
      <c r="D67" s="93">
        <f>'Приложение 3'!E73</f>
        <v>2</v>
      </c>
      <c r="E67" s="93"/>
      <c r="F67" s="76">
        <f>'Приложение 3'!G73</f>
        <v>0</v>
      </c>
      <c r="G67" s="76">
        <f>'Приложение 3'!H73</f>
        <v>0</v>
      </c>
      <c r="H67" s="95">
        <v>0</v>
      </c>
    </row>
    <row r="68" spans="1:8" ht="24" outlineLevel="2">
      <c r="A68" s="54" t="str">
        <f>'Приложение 3'!A74</f>
        <v>Закупка товаров, работ и услуг для государственных (муниципальных) нужд</v>
      </c>
      <c r="B68" s="93" t="str">
        <f>'Приложение 3'!C74</f>
        <v>0113</v>
      </c>
      <c r="C68" s="93" t="str">
        <f>'Приложение 3'!D74</f>
        <v>20</v>
      </c>
      <c r="D68" s="93">
        <f>'Приложение 3'!E74</f>
        <v>2</v>
      </c>
      <c r="E68" s="93">
        <f>'Приложение 3'!F74</f>
        <v>200</v>
      </c>
      <c r="F68" s="76">
        <f>'Приложение 3'!G74</f>
        <v>0</v>
      </c>
      <c r="G68" s="76">
        <f>'Приложение 3'!H74</f>
        <v>0</v>
      </c>
      <c r="H68" s="95">
        <v>0</v>
      </c>
    </row>
    <row r="69" spans="1:8" ht="36" outlineLevel="2">
      <c r="A69" s="54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9" s="93" t="str">
        <f>'Приложение 3'!C75</f>
        <v>0113</v>
      </c>
      <c r="C69" s="93" t="str">
        <f>'Приложение 3'!D75</f>
        <v>21</v>
      </c>
      <c r="D69" s="93">
        <f>'Приложение 3'!E75</f>
        <v>0</v>
      </c>
      <c r="E69" s="93"/>
      <c r="F69" s="76">
        <f>'Приложение 3'!G75</f>
        <v>8</v>
      </c>
      <c r="G69" s="76">
        <f>'Приложение 3'!H75</f>
        <v>8</v>
      </c>
      <c r="H69" s="95">
        <f t="shared" si="0"/>
        <v>100</v>
      </c>
    </row>
    <row r="70" spans="1:8" ht="24" outlineLevel="2">
      <c r="A70" s="54" t="str">
        <f>'Приложение 3'!A76</f>
        <v>Закупка товаров, работ и услуг для государственных (муниципальных) нужд</v>
      </c>
      <c r="B70" s="93" t="str">
        <f>'Приложение 3'!C76</f>
        <v>0113</v>
      </c>
      <c r="C70" s="93" t="str">
        <f>'Приложение 3'!D76</f>
        <v>21</v>
      </c>
      <c r="D70" s="93">
        <f>'Приложение 3'!E76</f>
        <v>0</v>
      </c>
      <c r="E70" s="93">
        <f>'Приложение 3'!F76</f>
        <v>200</v>
      </c>
      <c r="F70" s="76">
        <f>'Приложение 3'!G76</f>
        <v>8</v>
      </c>
      <c r="G70" s="76">
        <f>'Приложение 3'!H76</f>
        <v>8</v>
      </c>
      <c r="H70" s="95">
        <f t="shared" si="0"/>
        <v>100</v>
      </c>
    </row>
    <row r="71" spans="1:8" ht="36" outlineLevel="2">
      <c r="A71" s="54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93" t="str">
        <f>'Приложение 3'!C77</f>
        <v>0113</v>
      </c>
      <c r="C71" s="93" t="str">
        <f>'Приложение 3'!D77</f>
        <v>23</v>
      </c>
      <c r="D71" s="93">
        <f>'Приложение 3'!E77</f>
        <v>0</v>
      </c>
      <c r="E71" s="93"/>
      <c r="F71" s="76">
        <f>'Приложение 3'!G77</f>
        <v>20</v>
      </c>
      <c r="G71" s="76">
        <f>'Приложение 3'!H77</f>
        <v>20</v>
      </c>
      <c r="H71" s="95">
        <f t="shared" si="0"/>
        <v>100</v>
      </c>
    </row>
    <row r="72" spans="1:8" ht="24" outlineLevel="2">
      <c r="A72" s="54" t="str">
        <f>'Приложение 3'!A78</f>
        <v>Закупка товаров, работ и услуг для государственных (муниципальных) нужд</v>
      </c>
      <c r="B72" s="93" t="str">
        <f>'Приложение 3'!C78</f>
        <v>0113</v>
      </c>
      <c r="C72" s="93" t="str">
        <f>'Приложение 3'!D78</f>
        <v>23</v>
      </c>
      <c r="D72" s="93">
        <f>'Приложение 3'!E78</f>
        <v>0</v>
      </c>
      <c r="E72" s="93">
        <f>'Приложение 3'!F78</f>
        <v>200</v>
      </c>
      <c r="F72" s="76">
        <f>'Приложение 3'!G78</f>
        <v>20</v>
      </c>
      <c r="G72" s="76">
        <f>'Приложение 3'!H78</f>
        <v>20</v>
      </c>
      <c r="H72" s="95">
        <f t="shared" si="0"/>
        <v>100</v>
      </c>
    </row>
    <row r="73" spans="1:8" ht="60" outlineLevel="2">
      <c r="A73" s="54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3" s="93" t="str">
        <f>'Приложение 3'!C79</f>
        <v>0113</v>
      </c>
      <c r="C73" s="93" t="str">
        <f>'Приложение 3'!D79</f>
        <v>51</v>
      </c>
      <c r="D73" s="93">
        <f>'Приложение 3'!E79</f>
        <v>0</v>
      </c>
      <c r="E73" s="93"/>
      <c r="F73" s="76">
        <f>'Приложение 3'!G79</f>
        <v>42272.393359999995</v>
      </c>
      <c r="G73" s="76">
        <f>'Приложение 3'!H79</f>
        <v>42049.74197</v>
      </c>
      <c r="H73" s="95">
        <f aca="true" t="shared" si="1" ref="H73:H135">SUM(G73/F73)*100</f>
        <v>99.47329362663748</v>
      </c>
    </row>
    <row r="74" spans="1:8" ht="24" outlineLevel="2">
      <c r="A74" s="54" t="str">
        <f>'Приложение 3'!A80</f>
        <v>Предоставление субсидий бюджетным, автономным учреждениям и иным некоммерческим организациям</v>
      </c>
      <c r="B74" s="93" t="str">
        <f>'Приложение 3'!C80</f>
        <v>0113</v>
      </c>
      <c r="C74" s="93" t="str">
        <f>'Приложение 3'!D80</f>
        <v>51</v>
      </c>
      <c r="D74" s="93">
        <f>'Приложение 3'!E80</f>
        <v>0</v>
      </c>
      <c r="E74" s="93">
        <f>'Приложение 3'!F80</f>
        <v>600</v>
      </c>
      <c r="F74" s="76">
        <f>'Приложение 3'!G80</f>
        <v>42272.393359999995</v>
      </c>
      <c r="G74" s="76">
        <f>'Приложение 3'!H80</f>
        <v>42049.74197</v>
      </c>
      <c r="H74" s="95">
        <f t="shared" si="1"/>
        <v>99.47329362663748</v>
      </c>
    </row>
    <row r="75" spans="1:8" ht="12.75" outlineLevel="2">
      <c r="A75" s="54" t="str">
        <f>'Приложение 3'!A81</f>
        <v>Государственная регистрация актов гражданского состояния</v>
      </c>
      <c r="B75" s="93" t="str">
        <f>'Приложение 3'!C81</f>
        <v>0113</v>
      </c>
      <c r="C75" s="93">
        <f>'Приложение 3'!D81</f>
        <v>0</v>
      </c>
      <c r="D75" s="93">
        <f>'Приложение 3'!E81</f>
        <v>0</v>
      </c>
      <c r="E75" s="93"/>
      <c r="F75" s="76">
        <f>'Приложение 3'!G81</f>
        <v>1813.1</v>
      </c>
      <c r="G75" s="76">
        <f>'Приложение 3'!H81</f>
        <v>1813.1</v>
      </c>
      <c r="H75" s="95">
        <f t="shared" si="1"/>
        <v>100</v>
      </c>
    </row>
    <row r="76" spans="1:8" ht="36" outlineLevel="2">
      <c r="A76" s="54" t="str">
        <f>'Приложение 3'!A82</f>
        <v>Непрограммные направления обеспечения деятельности органов местного самоуправления Алексеевского муниципального района</v>
      </c>
      <c r="B76" s="93" t="str">
        <f>'Приложение 3'!C82</f>
        <v>0113</v>
      </c>
      <c r="C76" s="93" t="str">
        <f>'Приложение 3'!D82</f>
        <v>90</v>
      </c>
      <c r="D76" s="93">
        <f>'Приложение 3'!E82</f>
        <v>0</v>
      </c>
      <c r="E76" s="93"/>
      <c r="F76" s="76">
        <f>'Приложение 3'!G82</f>
        <v>1813.1</v>
      </c>
      <c r="G76" s="76">
        <f>'Приложение 3'!H82</f>
        <v>1813.1</v>
      </c>
      <c r="H76" s="95">
        <f t="shared" si="1"/>
        <v>100</v>
      </c>
    </row>
    <row r="77" spans="1:8" ht="48" outlineLevel="2">
      <c r="A77" s="54" t="str">
        <f>'Приложение 3'!A83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7" s="93" t="str">
        <f>'Приложение 3'!C83</f>
        <v>0113</v>
      </c>
      <c r="C77" s="93" t="str">
        <f>'Приложение 3'!D83</f>
        <v>90</v>
      </c>
      <c r="D77" s="93" t="str">
        <f>'Приложение 3'!E83</f>
        <v>0</v>
      </c>
      <c r="E77" s="93">
        <f>'Приложение 3'!F83</f>
        <v>100</v>
      </c>
      <c r="F77" s="76">
        <f>'Приложение 3'!G83</f>
        <v>989.48541</v>
      </c>
      <c r="G77" s="76">
        <f>'Приложение 3'!H83</f>
        <v>989.48541</v>
      </c>
      <c r="H77" s="95">
        <f t="shared" si="1"/>
        <v>100</v>
      </c>
    </row>
    <row r="78" spans="1:8" ht="24" outlineLevel="2">
      <c r="A78" s="54" t="str">
        <f>'Приложение 3'!A84</f>
        <v>Закупка товаров, работ и услуг для государственных (муниципальных) нужд</v>
      </c>
      <c r="B78" s="93" t="str">
        <f>'Приложение 3'!C84</f>
        <v>0113</v>
      </c>
      <c r="C78" s="93" t="str">
        <f>'Приложение 3'!D84</f>
        <v>90</v>
      </c>
      <c r="D78" s="93" t="str">
        <f>'Приложение 3'!E84</f>
        <v>0</v>
      </c>
      <c r="E78" s="93">
        <f>'Приложение 3'!F84</f>
        <v>200</v>
      </c>
      <c r="F78" s="76">
        <f>'Приложение 3'!G84</f>
        <v>823.61459</v>
      </c>
      <c r="G78" s="76">
        <f>'Приложение 3'!H84</f>
        <v>823.61459</v>
      </c>
      <c r="H78" s="95">
        <f t="shared" si="1"/>
        <v>100</v>
      </c>
    </row>
    <row r="79" spans="1:8" ht="26.25" customHeight="1" outlineLevel="2">
      <c r="A79" s="54" t="str">
        <f>'Приложение 3'!A85</f>
        <v>Оценка недвижимости, признание прав и регулирование отношений по муниципальной собственности</v>
      </c>
      <c r="B79" s="93" t="str">
        <f>'Приложение 3'!C85</f>
        <v>0113</v>
      </c>
      <c r="C79" s="93" t="str">
        <f>'Приложение 3'!D85</f>
        <v>99</v>
      </c>
      <c r="D79" s="93">
        <f>'Приложение 3'!E85</f>
        <v>0</v>
      </c>
      <c r="E79" s="93"/>
      <c r="F79" s="76">
        <f>'Приложение 3'!G85</f>
        <v>282.1</v>
      </c>
      <c r="G79" s="76">
        <f>'Приложение 3'!H85</f>
        <v>282.1</v>
      </c>
      <c r="H79" s="95">
        <f t="shared" si="1"/>
        <v>100</v>
      </c>
    </row>
    <row r="80" spans="1:8" ht="24.75" customHeight="1" outlineLevel="2">
      <c r="A80" s="54" t="str">
        <f>'Приложение 3'!A86</f>
        <v>Непрограммные расходы органов местного самоуправления Алексеевского муниципального района</v>
      </c>
      <c r="B80" s="93" t="str">
        <f>'Приложение 3'!C86</f>
        <v>0113</v>
      </c>
      <c r="C80" s="93" t="str">
        <f>'Приложение 3'!D86</f>
        <v>99</v>
      </c>
      <c r="D80" s="93" t="str">
        <f>'Приложение 3'!E86</f>
        <v>0</v>
      </c>
      <c r="E80" s="93"/>
      <c r="F80" s="76">
        <f>'Приложение 3'!G86</f>
        <v>282.1</v>
      </c>
      <c r="G80" s="76">
        <f>'Приложение 3'!H86</f>
        <v>282.1</v>
      </c>
      <c r="H80" s="95">
        <f t="shared" si="1"/>
        <v>100</v>
      </c>
    </row>
    <row r="81" spans="1:8" ht="24.75" customHeight="1" outlineLevel="2">
      <c r="A81" s="54" t="str">
        <f>'Приложение 3'!A87</f>
        <v>Закупка товаров, работ и услуг для государственных (муниципальных) нужд</v>
      </c>
      <c r="B81" s="93" t="str">
        <f>'Приложение 3'!C87</f>
        <v>0113</v>
      </c>
      <c r="C81" s="93" t="str">
        <f>'Приложение 3'!D87</f>
        <v>99</v>
      </c>
      <c r="D81" s="93" t="str">
        <f>'Приложение 3'!E87</f>
        <v>0</v>
      </c>
      <c r="E81" s="93">
        <f>'Приложение 3'!F87</f>
        <v>200</v>
      </c>
      <c r="F81" s="76">
        <f>'Приложение 3'!G87</f>
        <v>282.1</v>
      </c>
      <c r="G81" s="76">
        <f>'Приложение 3'!H87</f>
        <v>282.1</v>
      </c>
      <c r="H81" s="95">
        <f t="shared" si="1"/>
        <v>100</v>
      </c>
    </row>
    <row r="82" spans="1:8" ht="24" outlineLevel="5">
      <c r="A82" s="54" t="str">
        <f>'Приложение 3'!A88</f>
        <v>Реализация государственных функций, связанных с общегосударственным управлением</v>
      </c>
      <c r="B82" s="93" t="str">
        <f>'Приложение 3'!C88</f>
        <v>0113</v>
      </c>
      <c r="C82" s="93" t="str">
        <f>'Приложение 3'!D88</f>
        <v>99</v>
      </c>
      <c r="D82" s="93">
        <f>'Приложение 3'!E88</f>
        <v>0</v>
      </c>
      <c r="E82" s="93"/>
      <c r="F82" s="76">
        <f>'Приложение 3'!G88</f>
        <v>2405.64817</v>
      </c>
      <c r="G82" s="76">
        <f>'Приложение 3'!H88</f>
        <v>2405.64817</v>
      </c>
      <c r="H82" s="95">
        <f t="shared" si="1"/>
        <v>100</v>
      </c>
    </row>
    <row r="83" spans="1:8" ht="29.25" customHeight="1" outlineLevel="5">
      <c r="A83" s="54" t="str">
        <f>'Приложение 3'!A89</f>
        <v>Непрограммные расходы органов местного самоуправления Алексеевского муниципального района</v>
      </c>
      <c r="B83" s="93" t="str">
        <f>'Приложение 3'!C89</f>
        <v>0113</v>
      </c>
      <c r="C83" s="93" t="str">
        <f>'Приложение 3'!D89</f>
        <v>99</v>
      </c>
      <c r="D83" s="93" t="str">
        <f>'Приложение 3'!E89</f>
        <v>0</v>
      </c>
      <c r="E83" s="93"/>
      <c r="F83" s="76">
        <f>'Приложение 3'!G89</f>
        <v>2405.64817</v>
      </c>
      <c r="G83" s="76">
        <f>'Приложение 3'!H89</f>
        <v>2405.64817</v>
      </c>
      <c r="H83" s="95">
        <f t="shared" si="1"/>
        <v>100</v>
      </c>
    </row>
    <row r="84" spans="1:8" ht="24" outlineLevel="5">
      <c r="A84" s="54" t="str">
        <f>'Приложение 3'!A90</f>
        <v>Закупка товаров, работ и услуг для государственных (муниципальных) нужд</v>
      </c>
      <c r="B84" s="93" t="str">
        <f>'Приложение 3'!C90</f>
        <v>0113</v>
      </c>
      <c r="C84" s="93" t="str">
        <f>'Приложение 3'!D90</f>
        <v>99</v>
      </c>
      <c r="D84" s="93">
        <f>'Приложение 3'!E90</f>
        <v>0</v>
      </c>
      <c r="E84" s="93">
        <f>'Приложение 3'!F90</f>
        <v>200</v>
      </c>
      <c r="F84" s="76">
        <f>'Приложение 3'!G90</f>
        <v>1057.87088</v>
      </c>
      <c r="G84" s="76">
        <f>'Приложение 3'!H90</f>
        <v>1057.87088</v>
      </c>
      <c r="H84" s="95">
        <f t="shared" si="1"/>
        <v>100</v>
      </c>
    </row>
    <row r="85" spans="1:8" ht="12.75" outlineLevel="5">
      <c r="A85" s="54" t="str">
        <f>'Приложение 3'!A91</f>
        <v>Иные бюджетные ассигнования</v>
      </c>
      <c r="B85" s="93" t="str">
        <f>'Приложение 3'!C91</f>
        <v>0113</v>
      </c>
      <c r="C85" s="93" t="str">
        <f>'Приложение 3'!D91</f>
        <v>99</v>
      </c>
      <c r="D85" s="93">
        <f>'Приложение 3'!E91</f>
        <v>0</v>
      </c>
      <c r="E85" s="93">
        <f>'Приложение 3'!F91</f>
        <v>800</v>
      </c>
      <c r="F85" s="76">
        <f>'Приложение 3'!G91</f>
        <v>1347.77729</v>
      </c>
      <c r="G85" s="76">
        <f>'Приложение 3'!H91</f>
        <v>1347.77729</v>
      </c>
      <c r="H85" s="95">
        <f t="shared" si="1"/>
        <v>100</v>
      </c>
    </row>
    <row r="86" spans="1:8" ht="12.75" outlineLevel="5">
      <c r="A86" s="54" t="str">
        <f>'Приложение 3'!A92</f>
        <v>Условно утвержденные расходы</v>
      </c>
      <c r="B86" s="93" t="str">
        <f>'Приложение 3'!C92</f>
        <v>0113</v>
      </c>
      <c r="C86" s="93" t="str">
        <f>'Приложение 3'!D92</f>
        <v>99</v>
      </c>
      <c r="D86" s="93">
        <f>'Приложение 3'!E92</f>
        <v>0</v>
      </c>
      <c r="E86" s="93" t="s">
        <v>158</v>
      </c>
      <c r="F86" s="76">
        <f>'Приложение 3'!G92</f>
        <v>0</v>
      </c>
      <c r="G86" s="76">
        <f>'Приложение 3'!H92</f>
        <v>0</v>
      </c>
      <c r="H86" s="95">
        <v>0</v>
      </c>
    </row>
    <row r="87" spans="1:8" ht="12.75" outlineLevel="5">
      <c r="A87" s="54" t="str">
        <f>'Приложение 3'!A93</f>
        <v>Национальная оборона </v>
      </c>
      <c r="B87" s="93" t="str">
        <f>'Приложение 3'!C93</f>
        <v>0200</v>
      </c>
      <c r="C87" s="93"/>
      <c r="D87" s="93"/>
      <c r="E87" s="93"/>
      <c r="F87" s="76">
        <f>'Приложение 3'!G93</f>
        <v>0</v>
      </c>
      <c r="G87" s="76">
        <f>'Приложение 3'!H93</f>
        <v>0</v>
      </c>
      <c r="H87" s="95">
        <v>0</v>
      </c>
    </row>
    <row r="88" spans="1:8" ht="12.75" outlineLevel="5">
      <c r="A88" s="54" t="str">
        <f>'Приложение 3'!A94</f>
        <v>Мобилизационная подготовка экономики</v>
      </c>
      <c r="B88" s="93" t="str">
        <f>'Приложение 3'!C94</f>
        <v>0204</v>
      </c>
      <c r="C88" s="93"/>
      <c r="D88" s="93"/>
      <c r="E88" s="93"/>
      <c r="F88" s="76">
        <f>'Приложение 3'!G94</f>
        <v>0</v>
      </c>
      <c r="G88" s="76">
        <f>'Приложение 3'!H94</f>
        <v>0</v>
      </c>
      <c r="H88" s="95">
        <v>0</v>
      </c>
    </row>
    <row r="89" spans="1:8" ht="24" outlineLevel="2">
      <c r="A89" s="54" t="str">
        <f>'Приложение 3'!A95</f>
        <v>Мероприятия по обеспечению мобилизационной готовности экономики</v>
      </c>
      <c r="B89" s="93" t="str">
        <f>'Приложение 3'!C95</f>
        <v>0204</v>
      </c>
      <c r="C89" s="93"/>
      <c r="D89" s="93"/>
      <c r="E89" s="93"/>
      <c r="F89" s="76">
        <f>'Приложение 3'!G95</f>
        <v>0</v>
      </c>
      <c r="G89" s="76">
        <f>'Приложение 3'!H95</f>
        <v>0</v>
      </c>
      <c r="H89" s="95">
        <v>0</v>
      </c>
    </row>
    <row r="90" spans="1:8" ht="24.75" customHeight="1" outlineLevel="5">
      <c r="A90" s="54" t="str">
        <f>'Приложение 3'!A96</f>
        <v>Непрограммные расходы органов местного самоуправления Алексеевского муниципального района</v>
      </c>
      <c r="B90" s="93" t="str">
        <f>'Приложение 3'!C96</f>
        <v>0204</v>
      </c>
      <c r="C90" s="93" t="str">
        <f>'Приложение 3'!D96</f>
        <v>99</v>
      </c>
      <c r="D90" s="93">
        <f>'Приложение 3'!E96</f>
        <v>0</v>
      </c>
      <c r="E90" s="93"/>
      <c r="F90" s="76">
        <f>'Приложение 3'!G96</f>
        <v>0</v>
      </c>
      <c r="G90" s="76">
        <f>'Приложение 3'!H96</f>
        <v>0</v>
      </c>
      <c r="H90" s="95">
        <v>0</v>
      </c>
    </row>
    <row r="91" spans="1:8" ht="24.75" customHeight="1" outlineLevel="5">
      <c r="A91" s="54" t="str">
        <f>'Приложение 3'!A97</f>
        <v>Закупка товаров, работ и услуг для государственных (муниципальных) нужд</v>
      </c>
      <c r="B91" s="93" t="str">
        <f>'Приложение 3'!C97</f>
        <v>0204</v>
      </c>
      <c r="C91" s="93" t="str">
        <f>'Приложение 3'!D97</f>
        <v>99</v>
      </c>
      <c r="D91" s="93">
        <f>'Приложение 3'!E97</f>
        <v>0</v>
      </c>
      <c r="E91" s="93">
        <f>'Приложение 3'!F97</f>
        <v>200</v>
      </c>
      <c r="F91" s="76">
        <f>'Приложение 3'!G97</f>
        <v>0</v>
      </c>
      <c r="G91" s="76">
        <f>'Приложение 3'!H97</f>
        <v>0</v>
      </c>
      <c r="H91" s="95">
        <v>0</v>
      </c>
    </row>
    <row r="92" spans="1:8" ht="24" outlineLevel="5">
      <c r="A92" s="54" t="str">
        <f>'Приложение 3'!A98</f>
        <v>Национальная безопасность и правоохранительная деятельность</v>
      </c>
      <c r="B92" s="93" t="str">
        <f>'Приложение 3'!C98</f>
        <v>0300</v>
      </c>
      <c r="C92" s="93"/>
      <c r="D92" s="93"/>
      <c r="E92" s="93"/>
      <c r="F92" s="76">
        <f>'Приложение 3'!G98</f>
        <v>61.08</v>
      </c>
      <c r="G92" s="76">
        <f>'Приложение 3'!H98</f>
        <v>61.08</v>
      </c>
      <c r="H92" s="95">
        <f t="shared" si="1"/>
        <v>100</v>
      </c>
    </row>
    <row r="93" spans="1:8" ht="36" outlineLevel="2">
      <c r="A93" s="54" t="str">
        <f>'Приложение 3'!A99</f>
        <v>Предупреждение и ликвидация последствий чрезвычайных ситуаций и стихийных бедствий природного и техногенного характера</v>
      </c>
      <c r="B93" s="93" t="str">
        <f>'Приложение 3'!C99</f>
        <v>0309</v>
      </c>
      <c r="C93" s="93"/>
      <c r="D93" s="93"/>
      <c r="E93" s="93"/>
      <c r="F93" s="76">
        <f>'Приложение 3'!G99</f>
        <v>61.08</v>
      </c>
      <c r="G93" s="76">
        <f>'Приложение 3'!H99</f>
        <v>61.08</v>
      </c>
      <c r="H93" s="95">
        <f t="shared" si="1"/>
        <v>100</v>
      </c>
    </row>
    <row r="94" spans="1:8" ht="28.5" customHeight="1" outlineLevel="5">
      <c r="A94" s="54" t="str">
        <f>'Приложение 3'!A100</f>
        <v>Непрограммные расходы органов местного самоуправления Алексеевского муниципального района</v>
      </c>
      <c r="B94" s="93" t="str">
        <f>'Приложение 3'!C100</f>
        <v>0309</v>
      </c>
      <c r="C94" s="93" t="str">
        <f>'Приложение 3'!D100</f>
        <v>99</v>
      </c>
      <c r="D94" s="93">
        <f>'Приложение 3'!E100</f>
        <v>0</v>
      </c>
      <c r="E94" s="93"/>
      <c r="F94" s="76">
        <f>'Приложение 3'!G100</f>
        <v>61.08</v>
      </c>
      <c r="G94" s="76">
        <f>'Приложение 3'!H100</f>
        <v>61.08</v>
      </c>
      <c r="H94" s="95">
        <f t="shared" si="1"/>
        <v>100</v>
      </c>
    </row>
    <row r="95" spans="1:8" ht="27" customHeight="1" outlineLevel="5">
      <c r="A95" s="54" t="str">
        <f>'Приложение 3'!A101</f>
        <v>Закупка товаров, работ и услуг для государственных (муниципальных) нужд</v>
      </c>
      <c r="B95" s="93" t="str">
        <f>'Приложение 3'!C101</f>
        <v>0309</v>
      </c>
      <c r="C95" s="93" t="str">
        <f>'Приложение 3'!D101</f>
        <v>99</v>
      </c>
      <c r="D95" s="93">
        <f>'Приложение 3'!E101</f>
        <v>0</v>
      </c>
      <c r="E95" s="93">
        <f>'Приложение 3'!F101</f>
        <v>200</v>
      </c>
      <c r="F95" s="76">
        <f>'Приложение 3'!G101</f>
        <v>61.08</v>
      </c>
      <c r="G95" s="76">
        <f>'Приложение 3'!H101</f>
        <v>61.08</v>
      </c>
      <c r="H95" s="95">
        <f t="shared" si="1"/>
        <v>100</v>
      </c>
    </row>
    <row r="96" spans="1:8" ht="24" outlineLevel="1">
      <c r="A96" s="54" t="str">
        <f>'Приложение 3'!A102</f>
        <v>Подготовка населения и организаций к действиям в чрезвычайных ситуациях в мирное и военное время</v>
      </c>
      <c r="B96" s="93" t="str">
        <f>'Приложение 3'!C102</f>
        <v>0309</v>
      </c>
      <c r="C96" s="93"/>
      <c r="D96" s="93"/>
      <c r="E96" s="93"/>
      <c r="F96" s="76">
        <f>'Приложение 3'!G102</f>
        <v>0</v>
      </c>
      <c r="G96" s="76">
        <f>'Приложение 3'!H102</f>
        <v>0</v>
      </c>
      <c r="H96" s="95">
        <v>0</v>
      </c>
    </row>
    <row r="97" spans="1:8" ht="28.5" customHeight="1" outlineLevel="2">
      <c r="A97" s="54" t="str">
        <f>'Приложение 3'!A103</f>
        <v>Непрограммные расходы органов местного самоуправления Алексеевского муниципального района</v>
      </c>
      <c r="B97" s="93" t="str">
        <f>'Приложение 3'!C103</f>
        <v>0309</v>
      </c>
      <c r="C97" s="93" t="str">
        <f>'Приложение 3'!D103</f>
        <v>99</v>
      </c>
      <c r="D97" s="93">
        <f>'Приложение 3'!E103</f>
        <v>0</v>
      </c>
      <c r="E97" s="93"/>
      <c r="F97" s="76">
        <f>'Приложение 3'!G103</f>
        <v>0</v>
      </c>
      <c r="G97" s="76">
        <f>'Приложение 3'!H103</f>
        <v>0</v>
      </c>
      <c r="H97" s="95">
        <v>0</v>
      </c>
    </row>
    <row r="98" spans="1:8" ht="27" customHeight="1" outlineLevel="3">
      <c r="A98" s="54" t="str">
        <f>'Приложение 3'!A104</f>
        <v>Закупка товаров, работ и услуг для государственных (муниципальных) нужд</v>
      </c>
      <c r="B98" s="93" t="str">
        <f>'Приложение 3'!C104</f>
        <v>0309</v>
      </c>
      <c r="C98" s="93" t="str">
        <f>'Приложение 3'!D104</f>
        <v>99</v>
      </c>
      <c r="D98" s="93">
        <f>'Приложение 3'!E104</f>
        <v>0</v>
      </c>
      <c r="E98" s="93">
        <f>'Приложение 3'!F104</f>
        <v>200</v>
      </c>
      <c r="F98" s="76">
        <f>'Приложение 3'!G104</f>
        <v>0</v>
      </c>
      <c r="G98" s="76">
        <f>'Приложение 3'!H104</f>
        <v>0</v>
      </c>
      <c r="H98" s="95">
        <v>0</v>
      </c>
    </row>
    <row r="99" spans="1:8" ht="11.25" customHeight="1" outlineLevel="3">
      <c r="A99" s="54" t="str">
        <f>'Приложение 3'!A105</f>
        <v>Национальная экономика</v>
      </c>
      <c r="B99" s="93" t="str">
        <f>'Приложение 3'!C105</f>
        <v>0400</v>
      </c>
      <c r="C99" s="93"/>
      <c r="D99" s="93"/>
      <c r="E99" s="93"/>
      <c r="F99" s="76">
        <f>'Приложение 3'!G105</f>
        <v>28446.883759999993</v>
      </c>
      <c r="G99" s="76">
        <f>'Приложение 3'!H105</f>
        <v>18232.697229999998</v>
      </c>
      <c r="H99" s="95">
        <f t="shared" si="1"/>
        <v>64.09382969264821</v>
      </c>
    </row>
    <row r="100" spans="1:8" ht="5.25" customHeight="1" hidden="1" outlineLevel="3">
      <c r="A100" s="54" t="str">
        <f>'Приложение 3'!A106</f>
        <v>Сельское хозяйство и рыболовство</v>
      </c>
      <c r="B100" s="93" t="str">
        <f>'Приложение 3'!C106</f>
        <v>0405</v>
      </c>
      <c r="C100" s="93"/>
      <c r="D100" s="93"/>
      <c r="E100" s="93"/>
      <c r="F100" s="76">
        <f>'Приложение 3'!G106</f>
        <v>0</v>
      </c>
      <c r="G100" s="76">
        <f>'Приложение 3'!H106</f>
        <v>0</v>
      </c>
      <c r="H100" s="95" t="e">
        <f t="shared" si="1"/>
        <v>#DIV/0!</v>
      </c>
    </row>
    <row r="101" spans="1:8" ht="48" hidden="1" outlineLevel="3">
      <c r="A101" s="54" t="str">
        <f>'Приложение 3'!A107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1" s="93" t="str">
        <f>'Приложение 3'!C107</f>
        <v>0405</v>
      </c>
      <c r="C101" s="93"/>
      <c r="D101" s="93"/>
      <c r="E101" s="93"/>
      <c r="F101" s="76">
        <f>'Приложение 3'!G107</f>
        <v>0</v>
      </c>
      <c r="G101" s="76">
        <f>'Приложение 3'!H107</f>
        <v>0</v>
      </c>
      <c r="H101" s="95" t="e">
        <f t="shared" si="1"/>
        <v>#DIV/0!</v>
      </c>
    </row>
    <row r="102" spans="1:8" ht="24" customHeight="1" hidden="1" outlineLevel="3">
      <c r="A102" s="54" t="str">
        <f>'Приложение 3'!A108</f>
        <v>Непрограммные расходы органов местного самоуправления Алексеевского муниципального района</v>
      </c>
      <c r="B102" s="93" t="str">
        <f>'Приложение 3'!C108</f>
        <v>0405</v>
      </c>
      <c r="C102" s="93" t="str">
        <f>'Приложение 3'!D108</f>
        <v>99</v>
      </c>
      <c r="D102" s="93">
        <f>'Приложение 3'!E108</f>
        <v>0</v>
      </c>
      <c r="E102" s="93"/>
      <c r="F102" s="76">
        <f>'Приложение 3'!G108</f>
        <v>0</v>
      </c>
      <c r="G102" s="76">
        <f>'Приложение 3'!H108</f>
        <v>0</v>
      </c>
      <c r="H102" s="95" t="e">
        <f t="shared" si="1"/>
        <v>#DIV/0!</v>
      </c>
    </row>
    <row r="103" spans="1:8" ht="24" customHeight="1" hidden="1" outlineLevel="3">
      <c r="A103" s="54" t="str">
        <f>'Приложение 3'!A109</f>
        <v>Закупка товаров, работ и услуг для государственных (муниципальных) нужд</v>
      </c>
      <c r="B103" s="93" t="str">
        <f>'Приложение 3'!C109</f>
        <v>0405</v>
      </c>
      <c r="C103" s="93" t="str">
        <f>'Приложение 3'!D109</f>
        <v>99</v>
      </c>
      <c r="D103" s="93">
        <f>'Приложение 3'!E109</f>
        <v>0</v>
      </c>
      <c r="E103" s="93">
        <f>'Приложение 3'!F109</f>
        <v>200</v>
      </c>
      <c r="F103" s="76">
        <f>'Приложение 3'!G109</f>
        <v>0</v>
      </c>
      <c r="G103" s="76">
        <f>'Приложение 3'!H109</f>
        <v>0</v>
      </c>
      <c r="H103" s="95" t="e">
        <f t="shared" si="1"/>
        <v>#DIV/0!</v>
      </c>
    </row>
    <row r="104" spans="1:8" ht="12.75" outlineLevel="3">
      <c r="A104" s="54" t="str">
        <f>'Приложение 3'!A110</f>
        <v>Дорожное хозяйство (дорожные фонды)</v>
      </c>
      <c r="B104" s="93" t="str">
        <f>'Приложение 3'!C110</f>
        <v>0409</v>
      </c>
      <c r="C104" s="93"/>
      <c r="D104" s="93"/>
      <c r="E104" s="93"/>
      <c r="F104" s="76">
        <f>'Приложение 3'!G110</f>
        <v>27272.636609999994</v>
      </c>
      <c r="G104" s="76">
        <f>'Приложение 3'!H110</f>
        <v>17058.45008</v>
      </c>
      <c r="H104" s="95">
        <f t="shared" si="1"/>
        <v>62.54785822117843</v>
      </c>
    </row>
    <row r="105" spans="1:8" ht="48" outlineLevel="3">
      <c r="A105" s="54" t="str">
        <f>'Приложение 3'!A111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105" s="93" t="str">
        <f>'Приложение 3'!C111</f>
        <v>0409</v>
      </c>
      <c r="C105" s="93" t="str">
        <f>'Приложение 3'!D111</f>
        <v>18</v>
      </c>
      <c r="D105" s="93">
        <f>'Приложение 3'!E111</f>
        <v>0</v>
      </c>
      <c r="E105" s="93"/>
      <c r="F105" s="76">
        <f>'Приложение 3'!G111</f>
        <v>27219.998609999995</v>
      </c>
      <c r="G105" s="76">
        <f>'Приложение 3'!H111</f>
        <v>17005.81208</v>
      </c>
      <c r="H105" s="95">
        <f t="shared" si="1"/>
        <v>62.47543331524072</v>
      </c>
    </row>
    <row r="106" spans="1:8" ht="27" customHeight="1" outlineLevel="1">
      <c r="A106" s="54" t="str">
        <f>'Приложение 3'!A112</f>
        <v>Закупка товаров, работ и услуг для государственных (муниципальных) нужд</v>
      </c>
      <c r="B106" s="93" t="str">
        <f>'Приложение 3'!C112</f>
        <v>0409</v>
      </c>
      <c r="C106" s="93" t="str">
        <f>'Приложение 3'!D112</f>
        <v>18</v>
      </c>
      <c r="D106" s="93">
        <f>'Приложение 3'!E112</f>
        <v>0</v>
      </c>
      <c r="E106" s="93">
        <f>'Приложение 3'!F112</f>
        <v>200</v>
      </c>
      <c r="F106" s="76">
        <f>'Приложение 3'!G112</f>
        <v>10296.934609999997</v>
      </c>
      <c r="G106" s="76">
        <f>'Приложение 3'!H112</f>
        <v>95.66008</v>
      </c>
      <c r="H106" s="95">
        <f t="shared" si="1"/>
        <v>0.9290151255995984</v>
      </c>
    </row>
    <row r="107" spans="1:8" ht="27" customHeight="1" outlineLevel="1">
      <c r="A107" s="54" t="str">
        <f>'Приложение 3'!A113</f>
        <v>Субсидия на реализацию мероприятий в сфере дорожной деятельности</v>
      </c>
      <c r="B107" s="93" t="str">
        <f>'Приложение 3'!C113</f>
        <v>0409</v>
      </c>
      <c r="C107" s="93" t="str">
        <f>'Приложение 3'!D113</f>
        <v>18</v>
      </c>
      <c r="D107" s="93">
        <f>'Приложение 3'!E113</f>
        <v>0</v>
      </c>
      <c r="E107" s="93">
        <f>'Приложение 3'!F113</f>
        <v>200</v>
      </c>
      <c r="F107" s="76">
        <f>'Приложение 3'!G113</f>
        <v>3000</v>
      </c>
      <c r="G107" s="76">
        <f>'Приложение 3'!H113</f>
        <v>2987.088</v>
      </c>
      <c r="H107" s="95">
        <f t="shared" si="1"/>
        <v>99.56960000000001</v>
      </c>
    </row>
    <row r="108" spans="1:8" ht="27" customHeight="1" outlineLevel="1">
      <c r="A108" s="54" t="str">
        <f>'Приложение 3'!A114</f>
        <v>Межбюджетные трансферты за счет средств субсидии на реализацию мероприятий в сфере дорожной деятельности</v>
      </c>
      <c r="B108" s="93" t="str">
        <f>'Приложение 3'!C114</f>
        <v>0409</v>
      </c>
      <c r="C108" s="93" t="str">
        <f>'Приложение 3'!D114</f>
        <v>18</v>
      </c>
      <c r="D108" s="93">
        <f>'Приложение 3'!E114</f>
        <v>0</v>
      </c>
      <c r="E108" s="93">
        <f>'Приложение 3'!F114</f>
        <v>500</v>
      </c>
      <c r="F108" s="76">
        <f>'Приложение 3'!G114</f>
        <v>12326.6</v>
      </c>
      <c r="G108" s="76">
        <f>'Приложение 3'!H114</f>
        <v>12326.6</v>
      </c>
      <c r="H108" s="95">
        <f t="shared" si="1"/>
        <v>100</v>
      </c>
    </row>
    <row r="109" spans="1:8" ht="26.25" customHeight="1" outlineLevel="1">
      <c r="A109" s="54" t="str">
        <f>'Приложение 3'!A115</f>
        <v>Предоставление субсидий бюджетным, автономным учреждениям и иным некоммерческим организациям</v>
      </c>
      <c r="B109" s="93" t="str">
        <f>'Приложение 3'!C115</f>
        <v>0409</v>
      </c>
      <c r="C109" s="93" t="str">
        <f>'Приложение 3'!D115</f>
        <v>18</v>
      </c>
      <c r="D109" s="93">
        <f>'Приложение 3'!E115</f>
        <v>0</v>
      </c>
      <c r="E109" s="93">
        <f>'Приложение 3'!F115</f>
        <v>600</v>
      </c>
      <c r="F109" s="76">
        <f>'Приложение 3'!G115</f>
        <v>1596.464</v>
      </c>
      <c r="G109" s="76">
        <f>'Приложение 3'!H115</f>
        <v>1596.464</v>
      </c>
      <c r="H109" s="95">
        <f t="shared" si="1"/>
        <v>100</v>
      </c>
    </row>
    <row r="110" spans="1:8" ht="26.25" customHeight="1" outlineLevel="1">
      <c r="A110" s="54" t="str">
        <f>'Приложение 3'!A116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0" s="93" t="str">
        <f>'Приложение 3'!C116</f>
        <v>0409</v>
      </c>
      <c r="C110" s="93" t="str">
        <f>'Приложение 3'!D116</f>
        <v>20</v>
      </c>
      <c r="D110" s="93">
        <f>'Приложение 3'!E116</f>
        <v>0</v>
      </c>
      <c r="E110" s="93"/>
      <c r="F110" s="76">
        <f>'Приложение 3'!G116</f>
        <v>52.638000000000034</v>
      </c>
      <c r="G110" s="76">
        <f>'Приложение 3'!H116</f>
        <v>52.638000000000034</v>
      </c>
      <c r="H110" s="95">
        <f t="shared" si="1"/>
        <v>100</v>
      </c>
    </row>
    <row r="111" spans="1:8" ht="26.25" customHeight="1" outlineLevel="1">
      <c r="A111" s="54" t="str">
        <f>'Приложение 3'!A117</f>
        <v>Подпрограмма "Формирование законопослушного поведения участников дорожного движения"</v>
      </c>
      <c r="B111" s="93" t="str">
        <f>'Приложение 3'!C117</f>
        <v>0409</v>
      </c>
      <c r="C111" s="93" t="str">
        <f>'Приложение 3'!D117</f>
        <v>20</v>
      </c>
      <c r="D111" s="93">
        <f>'Приложение 3'!E117</f>
        <v>2</v>
      </c>
      <c r="E111" s="93">
        <f>'Приложение 3'!F117</f>
        <v>0</v>
      </c>
      <c r="F111" s="76">
        <f>'Приложение 3'!G117</f>
        <v>52.638000000000034</v>
      </c>
      <c r="G111" s="76">
        <f>'Приложение 3'!H117</f>
        <v>52.638000000000034</v>
      </c>
      <c r="H111" s="95">
        <f t="shared" si="1"/>
        <v>100</v>
      </c>
    </row>
    <row r="112" spans="1:8" ht="26.25" customHeight="1" outlineLevel="1">
      <c r="A112" s="54" t="str">
        <f>'Приложение 3'!A118</f>
        <v>Закупка товаров, работ и услуг для государственных (муниципальных) нужд</v>
      </c>
      <c r="B112" s="93" t="str">
        <f>'Приложение 3'!C118</f>
        <v>0409</v>
      </c>
      <c r="C112" s="93" t="str">
        <f>'Приложение 3'!D118</f>
        <v>20</v>
      </c>
      <c r="D112" s="93">
        <f>'Приложение 3'!E118</f>
        <v>2</v>
      </c>
      <c r="E112" s="93">
        <f>'Приложение 3'!F118</f>
        <v>200</v>
      </c>
      <c r="F112" s="76">
        <f>'Приложение 3'!G118</f>
        <v>52.638000000000034</v>
      </c>
      <c r="G112" s="76">
        <f>'Приложение 3'!H118</f>
        <v>52.638000000000034</v>
      </c>
      <c r="H112" s="95">
        <f t="shared" si="1"/>
        <v>100</v>
      </c>
    </row>
    <row r="113" spans="1:8" ht="12.75" outlineLevel="2">
      <c r="A113" s="54" t="str">
        <f>'Приложение 3'!A119</f>
        <v>Другие вопросы в области национальной экономики</v>
      </c>
      <c r="B113" s="93" t="str">
        <f>'Приложение 3'!C119</f>
        <v>0412</v>
      </c>
      <c r="C113" s="93"/>
      <c r="D113" s="93"/>
      <c r="E113" s="93"/>
      <c r="F113" s="76">
        <f>'Приложение 3'!G119</f>
        <v>1174.2471500000001</v>
      </c>
      <c r="G113" s="76">
        <f>'Приложение 3'!H119</f>
        <v>1174.2471500000001</v>
      </c>
      <c r="H113" s="95">
        <f t="shared" si="1"/>
        <v>100</v>
      </c>
    </row>
    <row r="114" spans="1:8" ht="35.25" customHeight="1" outlineLevel="2">
      <c r="A114" s="54" t="str">
        <f>'Приложение 3'!A120</f>
        <v>Муниципальная программа "Развитие и поддержка малого предпринимательства Алексеевского муниципального района на 2019-2023 годы "</v>
      </c>
      <c r="B114" s="93" t="str">
        <f>'Приложение 3'!C120</f>
        <v>0412</v>
      </c>
      <c r="C114" s="93" t="str">
        <f>'Приложение 3'!D120</f>
        <v>04</v>
      </c>
      <c r="D114" s="93">
        <f>'Приложение 3'!E120</f>
        <v>0</v>
      </c>
      <c r="E114" s="93"/>
      <c r="F114" s="76">
        <f>'Приложение 3'!G120</f>
        <v>80</v>
      </c>
      <c r="G114" s="76">
        <f>'Приложение 3'!H120</f>
        <v>80</v>
      </c>
      <c r="H114" s="95">
        <f t="shared" si="1"/>
        <v>100</v>
      </c>
    </row>
    <row r="115" spans="1:8" ht="24" hidden="1" outlineLevel="2">
      <c r="A115" s="54" t="str">
        <f>'Приложение 3'!A121</f>
        <v>Закупка товаров, работ и услуг для государственных (муниципальных) нужд</v>
      </c>
      <c r="B115" s="93" t="str">
        <f>'Приложение 3'!C121</f>
        <v>0412</v>
      </c>
      <c r="C115" s="93" t="str">
        <f>'Приложение 3'!D121</f>
        <v>04</v>
      </c>
      <c r="D115" s="93">
        <f>'Приложение 3'!E121</f>
        <v>0</v>
      </c>
      <c r="E115" s="93">
        <f>'Приложение 3'!F121</f>
        <v>200</v>
      </c>
      <c r="F115" s="76">
        <f>'Приложение 3'!G121</f>
        <v>0</v>
      </c>
      <c r="G115" s="76">
        <f>'Приложение 3'!H121</f>
        <v>0</v>
      </c>
      <c r="H115" s="95" t="e">
        <f t="shared" si="1"/>
        <v>#DIV/0!</v>
      </c>
    </row>
    <row r="116" spans="1:8" ht="12.75" outlineLevel="2">
      <c r="A116" s="54" t="str">
        <f>'Приложение 3'!A122</f>
        <v>Социальное обеспечение и иные выплаты населению</v>
      </c>
      <c r="B116" s="93" t="str">
        <f>'Приложение 3'!C122</f>
        <v>0412</v>
      </c>
      <c r="C116" s="93" t="str">
        <f>'Приложение 3'!D122</f>
        <v>04</v>
      </c>
      <c r="D116" s="93">
        <f>'Приложение 3'!E122</f>
        <v>0</v>
      </c>
      <c r="E116" s="93">
        <f>'Приложение 3'!F122</f>
        <v>300</v>
      </c>
      <c r="F116" s="76">
        <f>'Приложение 3'!G122</f>
        <v>0</v>
      </c>
      <c r="G116" s="76">
        <f>'Приложение 3'!H122</f>
        <v>0</v>
      </c>
      <c r="H116" s="95">
        <v>0</v>
      </c>
    </row>
    <row r="117" spans="1:8" ht="12.75" outlineLevel="2">
      <c r="A117" s="54" t="str">
        <f>'Приложение 3'!A123</f>
        <v>Иные бюджетные ассигнования</v>
      </c>
      <c r="B117" s="93" t="str">
        <f>'Приложение 3'!C123</f>
        <v>0412</v>
      </c>
      <c r="C117" s="93" t="str">
        <f>'Приложение 3'!D123</f>
        <v>04</v>
      </c>
      <c r="D117" s="93">
        <f>'Приложение 3'!E123</f>
        <v>0</v>
      </c>
      <c r="E117" s="93">
        <f>'Приложение 3'!F123</f>
        <v>800</v>
      </c>
      <c r="F117" s="76">
        <f>'Приложение 3'!G123</f>
        <v>80</v>
      </c>
      <c r="G117" s="76">
        <f>'Приложение 3'!H123</f>
        <v>80</v>
      </c>
      <c r="H117" s="95">
        <f t="shared" si="1"/>
        <v>100</v>
      </c>
    </row>
    <row r="118" spans="1:8" ht="39" customHeight="1" outlineLevel="2">
      <c r="A118" s="54" t="str">
        <f>'Приложение 3'!A124</f>
        <v>Муниципальная программа "Градостроительная политика на территории Алексеевского муниципального района на 2019–2021 годы "</v>
      </c>
      <c r="B118" s="93" t="str">
        <f>'Приложение 3'!C124</f>
        <v>0412</v>
      </c>
      <c r="C118" s="93" t="str">
        <f>'Приложение 3'!D124</f>
        <v>09</v>
      </c>
      <c r="D118" s="93">
        <f>'Приложение 3'!E124</f>
        <v>0</v>
      </c>
      <c r="E118" s="93"/>
      <c r="F118" s="76">
        <f>'Приложение 3'!G124</f>
        <v>522.45915</v>
      </c>
      <c r="G118" s="76">
        <f>'Приложение 3'!H124</f>
        <v>522.45915</v>
      </c>
      <c r="H118" s="95">
        <f t="shared" si="1"/>
        <v>100</v>
      </c>
    </row>
    <row r="119" spans="1:8" ht="24" customHeight="1" outlineLevel="2">
      <c r="A119" s="54" t="str">
        <f>'Приложение 3'!A125</f>
        <v>Закупка товаров, работ и услуг для государственных (муниципальных) нужд</v>
      </c>
      <c r="B119" s="93" t="str">
        <f>'Приложение 3'!C125</f>
        <v>0412</v>
      </c>
      <c r="C119" s="93" t="str">
        <f>'Приложение 3'!D125</f>
        <v>09</v>
      </c>
      <c r="D119" s="93">
        <f>'Приложение 3'!E125</f>
        <v>0</v>
      </c>
      <c r="E119" s="93">
        <f>'Приложение 3'!F125</f>
        <v>200</v>
      </c>
      <c r="F119" s="76">
        <f>'Приложение 3'!G125</f>
        <v>522.45915</v>
      </c>
      <c r="G119" s="76">
        <f>'Приложение 3'!H125</f>
        <v>522.45915</v>
      </c>
      <c r="H119" s="95">
        <f t="shared" si="1"/>
        <v>100</v>
      </c>
    </row>
    <row r="120" spans="1:8" ht="12.75" outlineLevel="2">
      <c r="A120" s="54" t="str">
        <f>'Приложение 3'!A126</f>
        <v>Межбюджетные трансферты</v>
      </c>
      <c r="B120" s="93" t="str">
        <f>'Приложение 3'!C126</f>
        <v>0412</v>
      </c>
      <c r="C120" s="93" t="str">
        <f>'Приложение 3'!D126</f>
        <v>09</v>
      </c>
      <c r="D120" s="93">
        <f>'Приложение 3'!E126</f>
        <v>0</v>
      </c>
      <c r="E120" s="93">
        <f>'Приложение 3'!F126</f>
        <v>500</v>
      </c>
      <c r="F120" s="76">
        <f>'Приложение 3'!G126</f>
        <v>0</v>
      </c>
      <c r="G120" s="76">
        <f>'Приложение 3'!H126</f>
        <v>0</v>
      </c>
      <c r="H120" s="95">
        <v>0</v>
      </c>
    </row>
    <row r="121" spans="1:8" ht="15.75" customHeight="1" outlineLevel="3">
      <c r="A121" s="54" t="str">
        <f>'Приложение 3'!A127</f>
        <v>Мероприятия по землеустройству и землепользованию</v>
      </c>
      <c r="B121" s="93" t="str">
        <f>'Приложение 3'!C127</f>
        <v>0412</v>
      </c>
      <c r="C121" s="93"/>
      <c r="D121" s="93"/>
      <c r="E121" s="93"/>
      <c r="F121" s="76">
        <f>'Приложение 3'!G127</f>
        <v>111</v>
      </c>
      <c r="G121" s="76">
        <f>'Приложение 3'!H127</f>
        <v>111</v>
      </c>
      <c r="H121" s="95">
        <f t="shared" si="1"/>
        <v>100</v>
      </c>
    </row>
    <row r="122" spans="1:8" ht="28.5" customHeight="1">
      <c r="A122" s="54" t="str">
        <f>'Приложение 3'!A128</f>
        <v>Непрограммные расходы органов местного самоуправления Алексеевского муниципального района</v>
      </c>
      <c r="B122" s="93" t="str">
        <f>'Приложение 3'!C128</f>
        <v>0412</v>
      </c>
      <c r="C122" s="93" t="str">
        <f>'Приложение 3'!D128</f>
        <v>99</v>
      </c>
      <c r="D122" s="93">
        <f>'Приложение 3'!E128</f>
        <v>0</v>
      </c>
      <c r="E122" s="93"/>
      <c r="F122" s="76">
        <f>'Приложение 3'!G128</f>
        <v>111</v>
      </c>
      <c r="G122" s="76">
        <f>'Приложение 3'!H128</f>
        <v>111</v>
      </c>
      <c r="H122" s="95">
        <f t="shared" si="1"/>
        <v>100</v>
      </c>
    </row>
    <row r="123" spans="1:8" ht="25.5" customHeight="1" outlineLevel="1">
      <c r="A123" s="54" t="str">
        <f>'Приложение 3'!A129</f>
        <v>Закупка товаров, работ и услуг для государственных (муниципальных) нужд</v>
      </c>
      <c r="B123" s="93" t="str">
        <f>'Приложение 3'!C129</f>
        <v>0412</v>
      </c>
      <c r="C123" s="93" t="str">
        <f>'Приложение 3'!D129</f>
        <v>99</v>
      </c>
      <c r="D123" s="93">
        <f>'Приложение 3'!E129</f>
        <v>0</v>
      </c>
      <c r="E123" s="93">
        <f>'Приложение 3'!F129</f>
        <v>200</v>
      </c>
      <c r="F123" s="76">
        <f>'Приложение 3'!G129</f>
        <v>111</v>
      </c>
      <c r="G123" s="76">
        <f>'Приложение 3'!H129</f>
        <v>111</v>
      </c>
      <c r="H123" s="95">
        <f t="shared" si="1"/>
        <v>100</v>
      </c>
    </row>
    <row r="124" spans="1:8" ht="24" outlineLevel="2">
      <c r="A124" s="54" t="str">
        <f>'Приложение 3'!A130</f>
        <v>Мероприятия в области строительства, архитектуры и градостроения</v>
      </c>
      <c r="B124" s="93" t="str">
        <f>'Приложение 3'!C130</f>
        <v>0412</v>
      </c>
      <c r="C124" s="93"/>
      <c r="D124" s="93"/>
      <c r="E124" s="93"/>
      <c r="F124" s="76">
        <f>'Приложение 3'!G130</f>
        <v>10.788000000000011</v>
      </c>
      <c r="G124" s="76">
        <f>'Приложение 3'!H130</f>
        <v>10.788000000000011</v>
      </c>
      <c r="H124" s="95">
        <f t="shared" si="1"/>
        <v>100</v>
      </c>
    </row>
    <row r="125" spans="1:8" ht="27" customHeight="1" outlineLevel="2">
      <c r="A125" s="54" t="str">
        <f>'Приложение 3'!A131</f>
        <v>Непрограммные расходы органов местного самоуправления Алексеевского муниципального района</v>
      </c>
      <c r="B125" s="93" t="str">
        <f>'Приложение 3'!C131</f>
        <v>0412</v>
      </c>
      <c r="C125" s="93" t="str">
        <f>'Приложение 3'!D131</f>
        <v>99</v>
      </c>
      <c r="D125" s="93">
        <f>'Приложение 3'!E131</f>
        <v>0</v>
      </c>
      <c r="E125" s="93"/>
      <c r="F125" s="76">
        <f>'Приложение 3'!G131</f>
        <v>10.788000000000011</v>
      </c>
      <c r="G125" s="76">
        <f>'Приложение 3'!H131</f>
        <v>10.788000000000011</v>
      </c>
      <c r="H125" s="95">
        <f t="shared" si="1"/>
        <v>100</v>
      </c>
    </row>
    <row r="126" spans="1:8" ht="24.75" customHeight="1" outlineLevel="3">
      <c r="A126" s="54" t="str">
        <f>'Приложение 3'!A132</f>
        <v>Закупка товаров, работ и услуг для государственных (муниципальных) нужд</v>
      </c>
      <c r="B126" s="93" t="str">
        <f>'Приложение 3'!C132</f>
        <v>0412</v>
      </c>
      <c r="C126" s="93" t="str">
        <f>'Приложение 3'!D132</f>
        <v>99</v>
      </c>
      <c r="D126" s="93">
        <f>'Приложение 3'!E132</f>
        <v>0</v>
      </c>
      <c r="E126" s="93">
        <f>'Приложение 3'!F132</f>
        <v>200</v>
      </c>
      <c r="F126" s="76">
        <f>'Приложение 3'!G132</f>
        <v>10.788000000000011</v>
      </c>
      <c r="G126" s="76">
        <f>'Приложение 3'!H132</f>
        <v>10.788000000000011</v>
      </c>
      <c r="H126" s="95">
        <f t="shared" si="1"/>
        <v>100</v>
      </c>
    </row>
    <row r="127" spans="1:8" ht="24.75" customHeight="1" outlineLevel="3">
      <c r="A127" s="54" t="str">
        <f>'Приложение 3'!A133</f>
        <v>Непрограммные расходы органов местного самоуправления Алексеевского муниципального района</v>
      </c>
      <c r="B127" s="93" t="str">
        <f>'Приложение 3'!C133</f>
        <v>0412</v>
      </c>
      <c r="C127" s="93" t="str">
        <f>'Приложение 3'!D133</f>
        <v>99</v>
      </c>
      <c r="D127" s="93">
        <f>'Приложение 3'!E133</f>
        <v>0</v>
      </c>
      <c r="E127" s="93"/>
      <c r="F127" s="76">
        <f>'Приложение 3'!G133</f>
        <v>450</v>
      </c>
      <c r="G127" s="76">
        <f>'Приложение 3'!H133</f>
        <v>450</v>
      </c>
      <c r="H127" s="95">
        <f t="shared" si="1"/>
        <v>100</v>
      </c>
    </row>
    <row r="128" spans="1:8" ht="13.5" customHeight="1" outlineLevel="3">
      <c r="A128" s="54" t="str">
        <f>'Приложение 3'!A134</f>
        <v>Премии и гранты</v>
      </c>
      <c r="B128" s="93" t="str">
        <f>'Приложение 3'!C134</f>
        <v>0412</v>
      </c>
      <c r="C128" s="93" t="str">
        <f>'Приложение 3'!D134</f>
        <v>99</v>
      </c>
      <c r="D128" s="93">
        <f>'Приложение 3'!E134</f>
        <v>0</v>
      </c>
      <c r="E128" s="93">
        <f>'Приложение 3'!F134</f>
        <v>300</v>
      </c>
      <c r="F128" s="76">
        <f>'Приложение 3'!G134</f>
        <v>450</v>
      </c>
      <c r="G128" s="76">
        <f>'Приложение 3'!H134</f>
        <v>450</v>
      </c>
      <c r="H128" s="95">
        <f t="shared" si="1"/>
        <v>100</v>
      </c>
    </row>
    <row r="129" spans="1:8" ht="12.75" outlineLevel="2">
      <c r="A129" s="54" t="str">
        <f>'Приложение 3'!A135</f>
        <v>Жилищно-коммунальное хозяйство</v>
      </c>
      <c r="B129" s="93" t="str">
        <f>'Приложение 3'!C135</f>
        <v>0500</v>
      </c>
      <c r="C129" s="93"/>
      <c r="D129" s="93"/>
      <c r="E129" s="93"/>
      <c r="F129" s="76">
        <f>'Приложение 3'!G135</f>
        <v>8560.300000000001</v>
      </c>
      <c r="G129" s="76">
        <f>'Приложение 3'!H135</f>
        <v>8430.78972</v>
      </c>
      <c r="H129" s="95">
        <f t="shared" si="1"/>
        <v>98.48708246206324</v>
      </c>
    </row>
    <row r="130" spans="1:8" ht="12.75" hidden="1" outlineLevel="2">
      <c r="A130" s="54" t="str">
        <f>'Приложение 3'!A136</f>
        <v>Жилищное хозяйство</v>
      </c>
      <c r="B130" s="93" t="str">
        <f>'Приложение 3'!C136</f>
        <v>0501</v>
      </c>
      <c r="C130" s="93"/>
      <c r="D130" s="93"/>
      <c r="E130" s="93"/>
      <c r="F130" s="76">
        <f>'Приложение 3'!G136</f>
        <v>0</v>
      </c>
      <c r="G130" s="76">
        <f>'Приложение 3'!H136</f>
        <v>0</v>
      </c>
      <c r="H130" s="95" t="e">
        <f t="shared" si="1"/>
        <v>#DIV/0!</v>
      </c>
    </row>
    <row r="131" spans="1:8" ht="12.75" outlineLevel="3">
      <c r="A131" s="54" t="str">
        <f>'Приложение 3'!A137</f>
        <v>Коммунальное хозяйство</v>
      </c>
      <c r="B131" s="93" t="str">
        <f>'Приложение 3'!C137</f>
        <v>0502</v>
      </c>
      <c r="C131" s="93"/>
      <c r="D131" s="93"/>
      <c r="E131" s="93"/>
      <c r="F131" s="76">
        <f>'Приложение 3'!G137</f>
        <v>8560.300000000001</v>
      </c>
      <c r="G131" s="76">
        <f>'Приложение 3'!H137</f>
        <v>8430.78972</v>
      </c>
      <c r="H131" s="95">
        <f t="shared" si="1"/>
        <v>98.48708246206324</v>
      </c>
    </row>
    <row r="132" spans="1:8" ht="37.5" customHeight="1" outlineLevel="3">
      <c r="A132" s="54" t="str">
        <f>'Приложение 3'!A138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93" t="str">
        <f>'Приложение 3'!C138</f>
        <v>0502</v>
      </c>
      <c r="C132" s="93" t="str">
        <f>'Приложение 3'!D138</f>
        <v>02</v>
      </c>
      <c r="D132" s="93">
        <f>'Приложение 3'!E138</f>
        <v>0</v>
      </c>
      <c r="E132" s="93"/>
      <c r="F132" s="76">
        <f>'Приложение 3'!G138</f>
        <v>8281.1</v>
      </c>
      <c r="G132" s="76">
        <f>'Приложение 3'!H138</f>
        <v>8281.1</v>
      </c>
      <c r="H132" s="95">
        <f t="shared" si="1"/>
        <v>100</v>
      </c>
    </row>
    <row r="133" spans="1:8" ht="36.75" customHeight="1" outlineLevel="3">
      <c r="A133" s="54" t="str">
        <f>'Приложение 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93" t="str">
        <f>'Приложение 3'!C139</f>
        <v>0502</v>
      </c>
      <c r="C133" s="93" t="str">
        <f>'Приложение 3'!D139</f>
        <v>02</v>
      </c>
      <c r="D133" s="93">
        <f>'Приложение 3'!E139</f>
        <v>1</v>
      </c>
      <c r="E133" s="93"/>
      <c r="F133" s="76">
        <f>'Приложение 3'!G139</f>
        <v>8281.1</v>
      </c>
      <c r="G133" s="76">
        <f>'Приложение 3'!H139</f>
        <v>8281.1</v>
      </c>
      <c r="H133" s="95">
        <f t="shared" si="1"/>
        <v>100</v>
      </c>
    </row>
    <row r="134" spans="1:8" ht="24" hidden="1" outlineLevel="3">
      <c r="A134" s="54" t="str">
        <f>'Приложение 3'!A140</f>
        <v>Закупка товаров, работ и услуг для государственных (муниципальных) нужд</v>
      </c>
      <c r="B134" s="93" t="str">
        <f>'Приложение 3'!C140</f>
        <v>0502</v>
      </c>
      <c r="C134" s="93" t="str">
        <f>'Приложение 3'!D140</f>
        <v>02</v>
      </c>
      <c r="D134" s="93">
        <f>'Приложение 3'!E140</f>
        <v>1</v>
      </c>
      <c r="E134" s="93">
        <f>'Приложение 3'!F140</f>
        <v>200</v>
      </c>
      <c r="F134" s="76">
        <f>'Приложение 3'!G140</f>
        <v>0</v>
      </c>
      <c r="G134" s="76">
        <f>'Приложение 3'!H140</f>
        <v>0</v>
      </c>
      <c r="H134" s="95" t="e">
        <f t="shared" si="1"/>
        <v>#DIV/0!</v>
      </c>
    </row>
    <row r="135" spans="1:8" ht="12.75" outlineLevel="3">
      <c r="A135" s="54" t="str">
        <f>'Приложение 3'!A141</f>
        <v>Межбюджетные трансферты</v>
      </c>
      <c r="B135" s="93" t="str">
        <f>'Приложение 3'!C141</f>
        <v>0502</v>
      </c>
      <c r="C135" s="93" t="str">
        <f>'Приложение 3'!D141</f>
        <v>02</v>
      </c>
      <c r="D135" s="93">
        <f>'Приложение 3'!E141</f>
        <v>1</v>
      </c>
      <c r="E135" s="93">
        <f>'Приложение 3'!F141</f>
        <v>500</v>
      </c>
      <c r="F135" s="76">
        <f>'Приложение 3'!G141</f>
        <v>8281.1</v>
      </c>
      <c r="G135" s="76">
        <f>'Приложение 3'!H141</f>
        <v>8281.1</v>
      </c>
      <c r="H135" s="95">
        <f t="shared" si="1"/>
        <v>100</v>
      </c>
    </row>
    <row r="136" spans="1:8" ht="36" outlineLevel="3">
      <c r="A136" s="54" t="str">
        <f>'Приложение 3'!A142</f>
        <v>Муниципальная программа "Устойчивое развитие сельских территорий Алексеевского муниципального района на 2014-2017 годы и на период до 2020 года"</v>
      </c>
      <c r="B136" s="93" t="str">
        <f>'Приложение 3'!C142</f>
        <v>0502</v>
      </c>
      <c r="C136" s="93" t="str">
        <f>'Приложение 3'!D142</f>
        <v>24</v>
      </c>
      <c r="D136" s="93">
        <f>'Приложение 3'!E142</f>
        <v>0</v>
      </c>
      <c r="E136" s="93"/>
      <c r="F136" s="76">
        <f>'Приложение 3'!G142</f>
        <v>0</v>
      </c>
      <c r="G136" s="76">
        <f>'Приложение 3'!H142</f>
        <v>0</v>
      </c>
      <c r="H136" s="95">
        <v>0</v>
      </c>
    </row>
    <row r="137" spans="1:8" ht="24" outlineLevel="3">
      <c r="A137" s="54" t="str">
        <f>'Приложение 3'!A143</f>
        <v>Капитальные вложения в объекты государственной (муниципальной) собственности</v>
      </c>
      <c r="B137" s="93" t="str">
        <f>'Приложение 3'!C143</f>
        <v>0502</v>
      </c>
      <c r="C137" s="93" t="str">
        <f>'Приложение 3'!D143</f>
        <v>24</v>
      </c>
      <c r="D137" s="93">
        <f>'Приложение 3'!E143</f>
        <v>0</v>
      </c>
      <c r="E137" s="93">
        <f>'Приложение 3'!F143</f>
        <v>400</v>
      </c>
      <c r="F137" s="76">
        <f>'Приложение 3'!G143</f>
        <v>0</v>
      </c>
      <c r="G137" s="76">
        <f>'Приложение 3'!H143</f>
        <v>0</v>
      </c>
      <c r="H137" s="95">
        <v>0</v>
      </c>
    </row>
    <row r="138" spans="1:8" ht="50.25" customHeight="1" outlineLevel="1">
      <c r="A138" s="54" t="str">
        <f>'Приложение 3'!A144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38" s="93" t="str">
        <f>'Приложение 3'!C144</f>
        <v>0502</v>
      </c>
      <c r="C138" s="93"/>
      <c r="D138" s="93"/>
      <c r="E138" s="93"/>
      <c r="F138" s="76">
        <f>'Приложение 3'!G144</f>
        <v>279.20000000000005</v>
      </c>
      <c r="G138" s="76">
        <f>'Приложение 3'!H144</f>
        <v>149.68972</v>
      </c>
      <c r="H138" s="95">
        <f aca="true" t="shared" si="2" ref="H138:H200">SUM(G138/F138)*100</f>
        <v>53.61379656160457</v>
      </c>
    </row>
    <row r="139" spans="1:8" ht="24" outlineLevel="1">
      <c r="A139" s="54" t="str">
        <f>'Приложение 3'!A145</f>
        <v>Непрограммные расходы органов местного самоуправления Алексеевского муниципального района</v>
      </c>
      <c r="B139" s="93" t="str">
        <f>'Приложение 3'!C145</f>
        <v>0502</v>
      </c>
      <c r="C139" s="93" t="str">
        <f>'Приложение 3'!D145</f>
        <v>99</v>
      </c>
      <c r="D139" s="93">
        <f>'Приложение 3'!E145</f>
        <v>0</v>
      </c>
      <c r="E139" s="93"/>
      <c r="F139" s="76">
        <f>'Приложение 3'!G145</f>
        <v>279.20000000000005</v>
      </c>
      <c r="G139" s="76">
        <f>'Приложение 3'!H145</f>
        <v>149.68972</v>
      </c>
      <c r="H139" s="95">
        <f t="shared" si="2"/>
        <v>53.61379656160457</v>
      </c>
    </row>
    <row r="140" spans="1:8" ht="12.75" outlineLevel="1">
      <c r="A140" s="54" t="str">
        <f>'Приложение 3'!A146</f>
        <v>Иные бюджетные ассигнования</v>
      </c>
      <c r="B140" s="93" t="str">
        <f>'Приложение 3'!C146</f>
        <v>0502</v>
      </c>
      <c r="C140" s="93" t="str">
        <f>'Приложение 3'!D146</f>
        <v>99</v>
      </c>
      <c r="D140" s="93">
        <f>'Приложение 3'!E146</f>
        <v>0</v>
      </c>
      <c r="E140" s="93">
        <f>'Приложение 3'!F146</f>
        <v>800</v>
      </c>
      <c r="F140" s="76">
        <f>'Приложение 3'!G146</f>
        <v>279.20000000000005</v>
      </c>
      <c r="G140" s="76">
        <f>'Приложение 3'!H146</f>
        <v>149.68972</v>
      </c>
      <c r="H140" s="95">
        <f t="shared" si="2"/>
        <v>53.61379656160457</v>
      </c>
    </row>
    <row r="141" spans="1:8" ht="12.75" hidden="1" outlineLevel="1">
      <c r="A141" s="54" t="str">
        <f>'Приложение 3'!A147</f>
        <v>Благоустройство</v>
      </c>
      <c r="B141" s="93" t="str">
        <f>'Приложение 3'!C147</f>
        <v>0503</v>
      </c>
      <c r="C141" s="93"/>
      <c r="D141" s="93"/>
      <c r="E141" s="93"/>
      <c r="F141" s="76">
        <f>'Приложение 3'!G147</f>
        <v>0</v>
      </c>
      <c r="G141" s="76">
        <f>'Приложение 3'!H147</f>
        <v>0</v>
      </c>
      <c r="H141" s="95" t="e">
        <f t="shared" si="2"/>
        <v>#DIV/0!</v>
      </c>
    </row>
    <row r="142" spans="1:8" ht="24" hidden="1" outlineLevel="1">
      <c r="A142" s="54" t="str">
        <f>'Приложение 3'!A148</f>
        <v>Непрограммные расходы органов местного самоуправления Алексеевского муниципального района</v>
      </c>
      <c r="B142" s="93" t="str">
        <f>'Приложение 3'!C148</f>
        <v>0503</v>
      </c>
      <c r="C142" s="93" t="str">
        <f>'Приложение 3'!D148</f>
        <v>99</v>
      </c>
      <c r="D142" s="93">
        <f>'Приложение 3'!E148</f>
        <v>0</v>
      </c>
      <c r="E142" s="93"/>
      <c r="F142" s="76">
        <f>'Приложение 3'!G148</f>
        <v>0</v>
      </c>
      <c r="G142" s="76">
        <f>'Приложение 3'!H148</f>
        <v>0</v>
      </c>
      <c r="H142" s="95" t="e">
        <f t="shared" si="2"/>
        <v>#DIV/0!</v>
      </c>
    </row>
    <row r="143" spans="1:8" ht="24" hidden="1" outlineLevel="1">
      <c r="A143" s="54" t="str">
        <f>'Приложение 3'!A149</f>
        <v>Закупка товаров, работ и услуг для государственных (муниципальных) нужд</v>
      </c>
      <c r="B143" s="93" t="str">
        <f>'Приложение 3'!C149</f>
        <v>0503</v>
      </c>
      <c r="C143" s="93" t="str">
        <f>'Приложение 3'!D149</f>
        <v>99</v>
      </c>
      <c r="D143" s="93">
        <f>'Приложение 3'!E149</f>
        <v>0</v>
      </c>
      <c r="E143" s="93">
        <f>'Приложение 3'!F149</f>
        <v>200</v>
      </c>
      <c r="F143" s="76">
        <f>'Приложение 3'!G149</f>
        <v>0</v>
      </c>
      <c r="G143" s="76">
        <f>'Приложение 3'!H149</f>
        <v>0</v>
      </c>
      <c r="H143" s="95" t="e">
        <f t="shared" si="2"/>
        <v>#DIV/0!</v>
      </c>
    </row>
    <row r="144" spans="1:8" ht="12.75" outlineLevel="2">
      <c r="A144" s="54" t="str">
        <f>'Приложение 3'!A150</f>
        <v>Охрана окружающей среды</v>
      </c>
      <c r="B144" s="93" t="str">
        <f>'Приложение 3'!C150</f>
        <v>0600</v>
      </c>
      <c r="C144" s="93">
        <f>'Приложение 3'!D150</f>
        <v>0</v>
      </c>
      <c r="D144" s="93">
        <f>'Приложение 3'!E150</f>
        <v>0</v>
      </c>
      <c r="E144" s="93"/>
      <c r="F144" s="76">
        <f>'Приложение 3'!G150</f>
        <v>264.44999999999993</v>
      </c>
      <c r="G144" s="76">
        <f>'Приложение 3'!H150</f>
        <v>264.44999999999993</v>
      </c>
      <c r="H144" s="95">
        <f t="shared" si="2"/>
        <v>100</v>
      </c>
    </row>
    <row r="145" spans="1:8" ht="24" outlineLevel="5">
      <c r="A145" s="54" t="str">
        <f>'Приложение 3'!A151</f>
        <v>Муниципальная программа "Охрана окружающей среды Алексеевского муниципального района на 2019-2023 годы"</v>
      </c>
      <c r="B145" s="93" t="str">
        <f>'Приложение 3'!C151</f>
        <v>0605</v>
      </c>
      <c r="C145" s="93" t="str">
        <f>'Приложение 3'!D151</f>
        <v>05</v>
      </c>
      <c r="D145" s="93">
        <f>'Приложение 3'!E151</f>
        <v>0</v>
      </c>
      <c r="E145" s="93"/>
      <c r="F145" s="76">
        <f>'Приложение 3'!G151</f>
        <v>264.44999999999993</v>
      </c>
      <c r="G145" s="76">
        <f>'Приложение 3'!H151</f>
        <v>264.44999999999993</v>
      </c>
      <c r="H145" s="95">
        <f t="shared" si="2"/>
        <v>100</v>
      </c>
    </row>
    <row r="146" spans="1:8" ht="24" outlineLevel="5">
      <c r="A146" s="54" t="str">
        <f>'Приложение 3'!A152</f>
        <v>Закупка товаров, работ и услуг для государственных (муниципальных) нужд</v>
      </c>
      <c r="B146" s="93" t="str">
        <f>'Приложение 3'!C152</f>
        <v>0605</v>
      </c>
      <c r="C146" s="93" t="str">
        <f>'Приложение 3'!D152</f>
        <v>05</v>
      </c>
      <c r="D146" s="93">
        <f>'Приложение 3'!E152</f>
        <v>0</v>
      </c>
      <c r="E146" s="93">
        <f>'Приложение 3'!F152</f>
        <v>200</v>
      </c>
      <c r="F146" s="76">
        <f>'Приложение 3'!G152</f>
        <v>40.049999999999955</v>
      </c>
      <c r="G146" s="76">
        <f>'Приложение 3'!H152</f>
        <v>40.049999999999955</v>
      </c>
      <c r="H146" s="95">
        <f t="shared" si="2"/>
        <v>100</v>
      </c>
    </row>
    <row r="147" spans="1:8" ht="24" outlineLevel="5">
      <c r="A147" s="54" t="str">
        <f>'Приложение 3'!A153</f>
        <v>Предоставление субсидий бюджетным, автономным учреждениям и иным некоммерческим организациям</v>
      </c>
      <c r="B147" s="93" t="str">
        <f>'Приложение 3'!C153</f>
        <v>0605</v>
      </c>
      <c r="C147" s="93" t="str">
        <f>'Приложение 3'!D153</f>
        <v>05</v>
      </c>
      <c r="D147" s="93">
        <f>'Приложение 3'!E153</f>
        <v>0</v>
      </c>
      <c r="E147" s="93">
        <f>'Приложение 3'!F153</f>
        <v>600</v>
      </c>
      <c r="F147" s="76">
        <f>'Приложение 3'!G153</f>
        <v>224.4</v>
      </c>
      <c r="G147" s="76">
        <f>'Приложение 3'!H153</f>
        <v>224.4</v>
      </c>
      <c r="H147" s="95">
        <f t="shared" si="2"/>
        <v>100</v>
      </c>
    </row>
    <row r="148" spans="1:8" ht="12.75" outlineLevel="5">
      <c r="A148" s="54" t="str">
        <f>'Приложение 3'!A154</f>
        <v>Образование</v>
      </c>
      <c r="B148" s="93" t="str">
        <f>'Приложение 3'!C154</f>
        <v>0700</v>
      </c>
      <c r="C148" s="93"/>
      <c r="D148" s="93"/>
      <c r="E148" s="93"/>
      <c r="F148" s="76">
        <f>'Приложение 3'!G154</f>
        <v>245689.77637999994</v>
      </c>
      <c r="G148" s="76">
        <f>'Приложение 3'!H154</f>
        <v>219109.24730999998</v>
      </c>
      <c r="H148" s="95">
        <f t="shared" si="2"/>
        <v>89.18126368071223</v>
      </c>
    </row>
    <row r="149" spans="1:8" ht="12.75" outlineLevel="2">
      <c r="A149" s="54" t="str">
        <f>'Приложение 3'!A155</f>
        <v>Дошкольное образование</v>
      </c>
      <c r="B149" s="93" t="str">
        <f>'Приложение 3'!C155</f>
        <v>0701</v>
      </c>
      <c r="C149" s="93"/>
      <c r="D149" s="93"/>
      <c r="E149" s="93"/>
      <c r="F149" s="76">
        <f>'Приложение 3'!G155</f>
        <v>60999.802500000005</v>
      </c>
      <c r="G149" s="76">
        <f>'Приложение 3'!H155</f>
        <v>38050.049289999995</v>
      </c>
      <c r="H149" s="95">
        <f t="shared" si="2"/>
        <v>62.37733194300095</v>
      </c>
    </row>
    <row r="150" spans="1:8" ht="35.25" customHeight="1" outlineLevel="2">
      <c r="A150" s="54" t="str">
        <f>'Приложение 3'!A156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0" s="93" t="str">
        <f>'Приложение 3'!C156</f>
        <v>0701</v>
      </c>
      <c r="C150" s="93" t="str">
        <f>'Приложение 3'!D156</f>
        <v>02</v>
      </c>
      <c r="D150" s="93">
        <f>'Приложение 3'!E156</f>
        <v>0</v>
      </c>
      <c r="E150" s="93"/>
      <c r="F150" s="76">
        <f>'Приложение 3'!G156</f>
        <v>22994.901530000003</v>
      </c>
      <c r="G150" s="76">
        <f>'Приложение 3'!H156</f>
        <v>994.9015300000001</v>
      </c>
      <c r="H150" s="95">
        <f t="shared" si="2"/>
        <v>4.326617918767839</v>
      </c>
    </row>
    <row r="151" spans="1:8" ht="36" outlineLevel="2">
      <c r="A151" s="54" t="str">
        <f>'Приложение 3'!A157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1" s="93" t="str">
        <f>'Приложение 3'!C157</f>
        <v>0701</v>
      </c>
      <c r="C151" s="93" t="str">
        <f>'Приложение 3'!D157</f>
        <v>02</v>
      </c>
      <c r="D151" s="93">
        <f>'Приложение 3'!E157</f>
        <v>3</v>
      </c>
      <c r="E151" s="93"/>
      <c r="F151" s="76">
        <f>'Приложение 3'!G157</f>
        <v>22567.902000000002</v>
      </c>
      <c r="G151" s="76">
        <f>'Приложение 3'!H157</f>
        <v>567.902</v>
      </c>
      <c r="H151" s="95">
        <f t="shared" si="2"/>
        <v>2.5164146848918434</v>
      </c>
    </row>
    <row r="152" spans="1:8" ht="24" outlineLevel="2">
      <c r="A152" s="54" t="str">
        <f>'Приложение 3'!A158</f>
        <v>Капитальные вложения в объекты государственной (муниципальной) собственности</v>
      </c>
      <c r="B152" s="93" t="str">
        <f>'Приложение 3'!C158</f>
        <v>0701</v>
      </c>
      <c r="C152" s="93" t="str">
        <f>'Приложение 3'!D158</f>
        <v>02</v>
      </c>
      <c r="D152" s="93">
        <f>'Приложение 3'!E158</f>
        <v>3</v>
      </c>
      <c r="E152" s="93" t="s">
        <v>316</v>
      </c>
      <c r="F152" s="76">
        <f>'Приложение 3'!G158</f>
        <v>22000</v>
      </c>
      <c r="G152" s="76">
        <f>'Приложение 3'!H158</f>
        <v>0</v>
      </c>
      <c r="H152" s="95">
        <f t="shared" si="2"/>
        <v>0</v>
      </c>
    </row>
    <row r="153" spans="1:8" ht="24" outlineLevel="2">
      <c r="A153" s="54" t="str">
        <f>'Приложение 3'!A159</f>
        <v>Предоставление субсидий бюджетным, автономным учреждениям и иным некоммерческим организациям</v>
      </c>
      <c r="B153" s="93" t="str">
        <f>'Приложение 3'!C159</f>
        <v>0701</v>
      </c>
      <c r="C153" s="93" t="str">
        <f>'Приложение 3'!D159</f>
        <v>02</v>
      </c>
      <c r="D153" s="93">
        <f>'Приложение 3'!E159</f>
        <v>3</v>
      </c>
      <c r="E153" s="93">
        <f>'Приложение 3'!F159</f>
        <v>600</v>
      </c>
      <c r="F153" s="76">
        <f>'Приложение 3'!G159</f>
        <v>567.902</v>
      </c>
      <c r="G153" s="76">
        <f>'Приложение 3'!H159</f>
        <v>567.902</v>
      </c>
      <c r="H153" s="95">
        <f t="shared" si="2"/>
        <v>100</v>
      </c>
    </row>
    <row r="154" spans="1:8" ht="38.25" customHeight="1" outlineLevel="2">
      <c r="A154" s="54" t="str">
        <f>'Приложение 3'!A160</f>
        <v>Подпрограмма "Энергосбережение и повышение энергетической эффективности Алексеевского муниципального района"</v>
      </c>
      <c r="B154" s="93" t="str">
        <f>'Приложение 3'!C160</f>
        <v>0701</v>
      </c>
      <c r="C154" s="93" t="str">
        <f>'Приложение 3'!D160</f>
        <v>02</v>
      </c>
      <c r="D154" s="93">
        <f>'Приложение 3'!E160</f>
        <v>4</v>
      </c>
      <c r="E154" s="93"/>
      <c r="F154" s="76">
        <f>'Приложение 3'!G160</f>
        <v>426.99953</v>
      </c>
      <c r="G154" s="76">
        <f>'Приложение 3'!H160</f>
        <v>426.99953</v>
      </c>
      <c r="H154" s="95">
        <f t="shared" si="2"/>
        <v>100</v>
      </c>
    </row>
    <row r="155" spans="1:8" ht="24" outlineLevel="2">
      <c r="A155" s="54" t="str">
        <f>'Приложение 3'!A161</f>
        <v>Предоставление субсидий бюджетным, автономным учреждениям и иным некоммерческим организациям</v>
      </c>
      <c r="B155" s="93" t="str">
        <f>'Приложение 3'!C161</f>
        <v>0701</v>
      </c>
      <c r="C155" s="93" t="str">
        <f>'Приложение 3'!D161</f>
        <v>02</v>
      </c>
      <c r="D155" s="93">
        <f>'Приложение 3'!E161</f>
        <v>4</v>
      </c>
      <c r="E155" s="93">
        <f>'Приложение 3'!F161</f>
        <v>600</v>
      </c>
      <c r="F155" s="76">
        <f>'Приложение 3'!G161</f>
        <v>426.99953</v>
      </c>
      <c r="G155" s="76">
        <f>'Приложение 3'!H161</f>
        <v>426.99953</v>
      </c>
      <c r="H155" s="95">
        <f t="shared" si="2"/>
        <v>100</v>
      </c>
    </row>
    <row r="156" spans="1:8" ht="96" outlineLevel="2">
      <c r="A156" s="54" t="str">
        <f>'Приложение 3'!A162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6" s="93" t="str">
        <f>'Приложение 3'!C162</f>
        <v>0701</v>
      </c>
      <c r="C156" s="93" t="str">
        <f>'Приложение 3'!D162</f>
        <v>22</v>
      </c>
      <c r="D156" s="93">
        <f>'Приложение 3'!E162</f>
        <v>0</v>
      </c>
      <c r="E156" s="93"/>
      <c r="F156" s="76">
        <f>'Приложение 3'!G162</f>
        <v>98.8</v>
      </c>
      <c r="G156" s="76">
        <f>'Приложение 3'!H162</f>
        <v>98.8</v>
      </c>
      <c r="H156" s="95">
        <f t="shared" si="2"/>
        <v>100</v>
      </c>
    </row>
    <row r="157" spans="1:8" ht="24" outlineLevel="2">
      <c r="A157" s="54" t="str">
        <f>'Приложение 3'!A163</f>
        <v>Предоставление субсидий бюджетным, автономным учреждениям и иным некоммерческим организациям</v>
      </c>
      <c r="B157" s="93" t="str">
        <f>'Приложение 3'!C163</f>
        <v>0701</v>
      </c>
      <c r="C157" s="93" t="str">
        <f>'Приложение 3'!D163</f>
        <v>22</v>
      </c>
      <c r="D157" s="93">
        <f>'Приложение 3'!E163</f>
        <v>0</v>
      </c>
      <c r="E157" s="93">
        <f>'Приложение 3'!F163</f>
        <v>600</v>
      </c>
      <c r="F157" s="76">
        <f>'Приложение 3'!G163</f>
        <v>98.8</v>
      </c>
      <c r="G157" s="76">
        <f>'Приложение 3'!H163</f>
        <v>98.8</v>
      </c>
      <c r="H157" s="95">
        <f t="shared" si="2"/>
        <v>100</v>
      </c>
    </row>
    <row r="158" spans="1:8" ht="36" outlineLevel="2">
      <c r="A158" s="54" t="str">
        <f>'Приложение 3'!A164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58" s="93" t="str">
        <f>'Приложение 3'!C164</f>
        <v>0701</v>
      </c>
      <c r="C158" s="93" t="str">
        <f>'Приложение 3'!D164</f>
        <v>52</v>
      </c>
      <c r="D158" s="93">
        <f>'Приложение 3'!E164</f>
        <v>0</v>
      </c>
      <c r="E158" s="93"/>
      <c r="F158" s="76">
        <f>'Приложение 3'!G164</f>
        <v>25574.45519</v>
      </c>
      <c r="G158" s="76">
        <f>'Приложение 3'!H164</f>
        <v>25132.05519</v>
      </c>
      <c r="H158" s="95">
        <f t="shared" si="2"/>
        <v>98.27014887819394</v>
      </c>
    </row>
    <row r="159" spans="1:8" ht="24" outlineLevel="2">
      <c r="A159" s="54" t="str">
        <f>'Приложение 3'!A165</f>
        <v>Предоставление субсидий бюджетным, автономным учреждениям и иным некоммерческим организациям</v>
      </c>
      <c r="B159" s="93" t="str">
        <f>'Приложение 3'!C165</f>
        <v>0701</v>
      </c>
      <c r="C159" s="93" t="str">
        <f>'Приложение 3'!D165</f>
        <v>52</v>
      </c>
      <c r="D159" s="93">
        <f>'Приложение 3'!E165</f>
        <v>0</v>
      </c>
      <c r="E159" s="93">
        <f>'Приложение 3'!F165</f>
        <v>600</v>
      </c>
      <c r="F159" s="76">
        <f>'Приложение 3'!G165</f>
        <v>11060.473189999999</v>
      </c>
      <c r="G159" s="76">
        <f>'Приложение 3'!H165</f>
        <v>11060.473189999999</v>
      </c>
      <c r="H159" s="95">
        <f t="shared" si="2"/>
        <v>100</v>
      </c>
    </row>
    <row r="160" spans="1:8" ht="36" customHeight="1" outlineLevel="2">
      <c r="A160" s="54" t="str">
        <f>'Приложение 3'!A166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0" s="93" t="str">
        <f>'Приложение 3'!C166</f>
        <v>0701</v>
      </c>
      <c r="C160" s="93" t="str">
        <f>'Приложение 3'!D166</f>
        <v>52</v>
      </c>
      <c r="D160" s="93">
        <f>'Приложение 3'!E166</f>
        <v>0</v>
      </c>
      <c r="E160" s="93">
        <f>'Приложение 3'!F166</f>
        <v>600</v>
      </c>
      <c r="F160" s="76">
        <f>'Приложение 3'!G166</f>
        <v>14036.100000000002</v>
      </c>
      <c r="G160" s="76">
        <f>'Приложение 3'!H166</f>
        <v>13593.700000000003</v>
      </c>
      <c r="H160" s="95">
        <f t="shared" si="2"/>
        <v>96.84812732881642</v>
      </c>
    </row>
    <row r="161" spans="1:8" ht="48" customHeight="1" outlineLevel="2">
      <c r="A161" s="54" t="str">
        <f>'Приложение 3'!A167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61" s="93" t="str">
        <f>'Приложение 3'!C167</f>
        <v>0701</v>
      </c>
      <c r="C161" s="93" t="str">
        <f>'Приложение 3'!D167</f>
        <v>52</v>
      </c>
      <c r="D161" s="93">
        <f>'Приложение 3'!E167</f>
        <v>0</v>
      </c>
      <c r="E161" s="93">
        <f>'Приложение 3'!F167</f>
        <v>600</v>
      </c>
      <c r="F161" s="76">
        <f>'Приложение 3'!G167</f>
        <v>187</v>
      </c>
      <c r="G161" s="76">
        <f>'Приложение 3'!H167</f>
        <v>187</v>
      </c>
      <c r="H161" s="95">
        <f t="shared" si="2"/>
        <v>100</v>
      </c>
    </row>
    <row r="162" spans="1:8" ht="48" customHeight="1" outlineLevel="2">
      <c r="A162" s="54" t="str">
        <f>'Приложение 3'!A168</f>
        <v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2" s="93" t="str">
        <f>'Приложение 3'!C168</f>
        <v>0701</v>
      </c>
      <c r="C162" s="93" t="str">
        <f>'Приложение 3'!D168</f>
        <v>52</v>
      </c>
      <c r="D162" s="93">
        <f>'Приложение 3'!E168</f>
        <v>0</v>
      </c>
      <c r="E162" s="93">
        <f>'Приложение 3'!F168</f>
        <v>600</v>
      </c>
      <c r="F162" s="76">
        <f>'Приложение 3'!G168</f>
        <v>290.3</v>
      </c>
      <c r="G162" s="76">
        <f>'Приложение 3'!H168</f>
        <v>290.3</v>
      </c>
      <c r="H162" s="95">
        <f t="shared" si="2"/>
        <v>100</v>
      </c>
    </row>
    <row r="163" spans="1:8" ht="108" outlineLevel="2">
      <c r="A163" s="54" t="str">
        <f>'Приложение 3'!A169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3" s="93" t="str">
        <f>'Приложение 3'!C169</f>
        <v>0701</v>
      </c>
      <c r="C163" s="93" t="str">
        <f>'Приложение 3'!D169</f>
        <v>52</v>
      </c>
      <c r="D163" s="93">
        <f>'Приложение 3'!E169</f>
        <v>0</v>
      </c>
      <c r="E163" s="93">
        <f>'Приложение 3'!F169</f>
        <v>600</v>
      </c>
      <c r="F163" s="76">
        <f>'Приложение 3'!G169</f>
        <v>0.582</v>
      </c>
      <c r="G163" s="76">
        <f>'Приложение 3'!H169</f>
        <v>0.582</v>
      </c>
      <c r="H163" s="95">
        <f t="shared" si="2"/>
        <v>100</v>
      </c>
    </row>
    <row r="164" spans="1:8" ht="36" outlineLevel="2">
      <c r="A164" s="54" t="str">
        <f>'Приложение 3'!A170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64" s="93" t="str">
        <f>'Приложение 3'!C170</f>
        <v>0701</v>
      </c>
      <c r="C164" s="93" t="str">
        <f>'Приложение 3'!D170</f>
        <v>53</v>
      </c>
      <c r="D164" s="93">
        <f>'Приложение 3'!E170</f>
        <v>0</v>
      </c>
      <c r="E164" s="93">
        <f>'Приложение 3'!F170</f>
        <v>0</v>
      </c>
      <c r="F164" s="76">
        <f>'Приложение 3'!G170</f>
        <v>12331.645779999999</v>
      </c>
      <c r="G164" s="76">
        <f>'Приложение 3'!H170</f>
        <v>11824.292569999998</v>
      </c>
      <c r="H164" s="95">
        <f t="shared" si="2"/>
        <v>95.88576237875039</v>
      </c>
    </row>
    <row r="165" spans="1:8" ht="76.5" customHeight="1" outlineLevel="2">
      <c r="A165" s="54" t="str">
        <f>'Приложение 3'!A171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5" s="93" t="str">
        <f>'Приложение 3'!C171</f>
        <v>0701</v>
      </c>
      <c r="C165" s="93" t="str">
        <f>'Приложение 3'!D171</f>
        <v>53</v>
      </c>
      <c r="D165" s="93">
        <f>'Приложение 3'!E171</f>
        <v>0</v>
      </c>
      <c r="E165" s="93">
        <f>'Приложение 3'!F171</f>
        <v>600</v>
      </c>
      <c r="F165" s="76">
        <f>'Приложение 3'!G171</f>
        <v>8433.979879999999</v>
      </c>
      <c r="G165" s="76">
        <f>'Приложение 3'!H171</f>
        <v>7926.626669999999</v>
      </c>
      <c r="H165" s="95">
        <f t="shared" si="2"/>
        <v>93.98441522011314</v>
      </c>
    </row>
    <row r="166" spans="1:8" ht="47.25" customHeight="1" outlineLevel="2">
      <c r="A166" s="54" t="str">
        <f>'Приложение 3'!A172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66" s="93" t="str">
        <f>'Приложение 3'!C172</f>
        <v>0701</v>
      </c>
      <c r="C166" s="93" t="str">
        <f>'Приложение 3'!D172</f>
        <v>53</v>
      </c>
      <c r="D166" s="93">
        <f>'Приложение 3'!E172</f>
        <v>0</v>
      </c>
      <c r="E166" s="93">
        <f>'Приложение 3'!F172</f>
        <v>600</v>
      </c>
      <c r="F166" s="76">
        <f>'Приложение 3'!G172</f>
        <v>23.82012</v>
      </c>
      <c r="G166" s="76">
        <f>'Приложение 3'!H172</f>
        <v>23.82012</v>
      </c>
      <c r="H166" s="95">
        <f t="shared" si="2"/>
        <v>100</v>
      </c>
    </row>
    <row r="167" spans="1:8" ht="24" outlineLevel="2">
      <c r="A167" s="54" t="str">
        <f>'Приложение 3'!A173</f>
        <v>Предоставление субсидий бюджетным, автономным учреждениям и иным некоммерческим организациям</v>
      </c>
      <c r="B167" s="93" t="str">
        <f>'Приложение 3'!C173</f>
        <v>0701</v>
      </c>
      <c r="C167" s="93" t="str">
        <f>'Приложение 3'!D173</f>
        <v>53</v>
      </c>
      <c r="D167" s="93">
        <f>'Приложение 3'!E173</f>
        <v>0</v>
      </c>
      <c r="E167" s="93">
        <f>'Приложение 3'!F173</f>
        <v>600</v>
      </c>
      <c r="F167" s="76">
        <f>'Приложение 3'!G173</f>
        <v>3873.8457799999996</v>
      </c>
      <c r="G167" s="76">
        <f>'Приложение 3'!H173</f>
        <v>3873.8457799999996</v>
      </c>
      <c r="H167" s="95">
        <f t="shared" si="2"/>
        <v>100</v>
      </c>
    </row>
    <row r="168" spans="1:8" ht="12.75" outlineLevel="5">
      <c r="A168" s="54" t="str">
        <f>'Приложение 3'!A174</f>
        <v>Общее образование</v>
      </c>
      <c r="B168" s="93" t="str">
        <f>'Приложение 3'!C174</f>
        <v>0702</v>
      </c>
      <c r="C168" s="93"/>
      <c r="D168" s="93"/>
      <c r="E168" s="93"/>
      <c r="F168" s="76">
        <f>'Приложение 3'!G174</f>
        <v>163617.52881999995</v>
      </c>
      <c r="G168" s="76">
        <f>'Приложение 3'!H174</f>
        <v>159993.50243</v>
      </c>
      <c r="H168" s="95">
        <f t="shared" si="2"/>
        <v>97.78506226311066</v>
      </c>
    </row>
    <row r="169" spans="1:8" ht="24" outlineLevel="5">
      <c r="A169" s="54" t="str">
        <f>'Приложение 3'!A175</f>
        <v>Школы-детские сады, школы начальные, неполные средние и средние</v>
      </c>
      <c r="B169" s="93" t="str">
        <f>'Приложение 3'!C175</f>
        <v>0702</v>
      </c>
      <c r="C169" s="93"/>
      <c r="D169" s="93"/>
      <c r="E169" s="93"/>
      <c r="F169" s="76">
        <f>'Приложение 3'!G175</f>
        <v>163617.52881999995</v>
      </c>
      <c r="G169" s="76">
        <f>'Приложение 3'!H175</f>
        <v>159993.50243</v>
      </c>
      <c r="H169" s="95">
        <f t="shared" si="2"/>
        <v>97.78506226311066</v>
      </c>
    </row>
    <row r="170" spans="1:8" ht="37.5" customHeight="1" outlineLevel="5">
      <c r="A170" s="54" t="str">
        <f>'Приложение 3'!A176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0" s="93" t="str">
        <f>'Приложение 3'!C176</f>
        <v>0702</v>
      </c>
      <c r="C170" s="93" t="str">
        <f>'Приложение 3'!D176</f>
        <v>02</v>
      </c>
      <c r="D170" s="93">
        <f>'Приложение 3'!E176</f>
        <v>0</v>
      </c>
      <c r="E170" s="93"/>
      <c r="F170" s="76">
        <f>'Приложение 3'!G176</f>
        <v>4859.77923</v>
      </c>
      <c r="G170" s="76">
        <f>'Приложение 3'!H176</f>
        <v>4859.77923</v>
      </c>
      <c r="H170" s="95">
        <f t="shared" si="2"/>
        <v>100</v>
      </c>
    </row>
    <row r="171" spans="1:8" ht="39" customHeight="1" outlineLevel="5">
      <c r="A171" s="54" t="str">
        <f>'Приложение 3'!A177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1" s="93" t="str">
        <f>'Приложение 3'!C177</f>
        <v>0702</v>
      </c>
      <c r="C171" s="93" t="str">
        <f>'Приложение 3'!D177</f>
        <v>02</v>
      </c>
      <c r="D171" s="93">
        <f>'Приложение 3'!E177</f>
        <v>3</v>
      </c>
      <c r="E171" s="93"/>
      <c r="F171" s="76">
        <f>'Приложение 3'!G177</f>
        <v>3835.78524</v>
      </c>
      <c r="G171" s="76">
        <f>'Приложение 3'!H177</f>
        <v>3835.78524</v>
      </c>
      <c r="H171" s="95">
        <f t="shared" si="2"/>
        <v>100</v>
      </c>
    </row>
    <row r="172" spans="1:8" ht="29.25" customHeight="1" hidden="1" outlineLevel="5">
      <c r="A172" s="54" t="str">
        <f>'Приложение 3'!A178</f>
        <v>Закупка товаров, работ и услуг для государственных (муниципальных) нужд</v>
      </c>
      <c r="B172" s="93" t="str">
        <f>'Приложение 3'!C178</f>
        <v>0702</v>
      </c>
      <c r="C172" s="93" t="str">
        <f>'Приложение 3'!D178</f>
        <v>02</v>
      </c>
      <c r="D172" s="93">
        <f>'Приложение 3'!E178</f>
        <v>3</v>
      </c>
      <c r="E172" s="93" t="s">
        <v>161</v>
      </c>
      <c r="F172" s="76">
        <f>'Приложение 3'!G178</f>
        <v>0</v>
      </c>
      <c r="G172" s="76">
        <f>'Приложение 3'!H178</f>
        <v>0</v>
      </c>
      <c r="H172" s="95" t="e">
        <f t="shared" si="2"/>
        <v>#DIV/0!</v>
      </c>
    </row>
    <row r="173" spans="1:8" ht="24" outlineLevel="5">
      <c r="A173" s="54" t="str">
        <f>'Приложение 3'!A179</f>
        <v>Предоставление субсидий бюджетным, автономным учреждениям и иным некоммерческим организациям</v>
      </c>
      <c r="B173" s="93" t="str">
        <f>'Приложение 3'!C179</f>
        <v>0702</v>
      </c>
      <c r="C173" s="93" t="str">
        <f>'Приложение 3'!D179</f>
        <v>02</v>
      </c>
      <c r="D173" s="93">
        <f>'Приложение 3'!E179</f>
        <v>3</v>
      </c>
      <c r="E173" s="93">
        <f>'Приложение 3'!F179</f>
        <v>600</v>
      </c>
      <c r="F173" s="76">
        <f>'Приложение 3'!G179</f>
        <v>3835.78524</v>
      </c>
      <c r="G173" s="76">
        <f>'Приложение 3'!H179</f>
        <v>3835.78524</v>
      </c>
      <c r="H173" s="95">
        <f t="shared" si="2"/>
        <v>100</v>
      </c>
    </row>
    <row r="174" spans="1:8" ht="36.75" customHeight="1" outlineLevel="5">
      <c r="A174" s="54" t="str">
        <f>'Приложение 3'!A180</f>
        <v>Подпрограмма "Энергосбережение и повышение энергетической эффективности Алексеевского муниципального района"</v>
      </c>
      <c r="B174" s="93" t="str">
        <f>'Приложение 3'!C180</f>
        <v>0702</v>
      </c>
      <c r="C174" s="93" t="str">
        <f>'Приложение 3'!D180</f>
        <v>02</v>
      </c>
      <c r="D174" s="93">
        <f>'Приложение 3'!E180</f>
        <v>4</v>
      </c>
      <c r="E174" s="93"/>
      <c r="F174" s="76">
        <f>'Приложение 3'!G180</f>
        <v>1023.9939899999999</v>
      </c>
      <c r="G174" s="76">
        <f>'Приложение 3'!H180</f>
        <v>1023.9939899999999</v>
      </c>
      <c r="H174" s="95">
        <f t="shared" si="2"/>
        <v>100</v>
      </c>
    </row>
    <row r="175" spans="1:8" ht="24" outlineLevel="5">
      <c r="A175" s="54" t="str">
        <f>'Приложение 3'!A181</f>
        <v>Закупка товаров, работ и услуг для государственных (муниципальных) нужд</v>
      </c>
      <c r="B175" s="93" t="str">
        <f>'Приложение 3'!C181</f>
        <v>0702</v>
      </c>
      <c r="C175" s="93" t="str">
        <f>'Приложение 3'!D181</f>
        <v>02</v>
      </c>
      <c r="D175" s="93">
        <f>'Приложение 3'!E181</f>
        <v>4</v>
      </c>
      <c r="E175" s="93">
        <f>'Приложение 3'!F181</f>
        <v>200</v>
      </c>
      <c r="F175" s="76">
        <f>'Приложение 3'!G181</f>
        <v>74</v>
      </c>
      <c r="G175" s="76">
        <f>'Приложение 3'!H181</f>
        <v>74</v>
      </c>
      <c r="H175" s="95">
        <f t="shared" si="2"/>
        <v>100</v>
      </c>
    </row>
    <row r="176" spans="1:8" ht="24" outlineLevel="5">
      <c r="A176" s="54" t="str">
        <f>'Приложение 3'!A182</f>
        <v>Предоставление субсидий бюджетным, автономным учреждениям и иным некоммерческим организациям</v>
      </c>
      <c r="B176" s="93" t="str">
        <f>'Приложение 3'!C182</f>
        <v>0702</v>
      </c>
      <c r="C176" s="93" t="str">
        <f>'Приложение 3'!D182</f>
        <v>02</v>
      </c>
      <c r="D176" s="93">
        <f>'Приложение 3'!E182</f>
        <v>4</v>
      </c>
      <c r="E176" s="93">
        <f>'Приложение 3'!F182</f>
        <v>600</v>
      </c>
      <c r="F176" s="76">
        <f>'Приложение 3'!G182</f>
        <v>949.9939899999999</v>
      </c>
      <c r="G176" s="76">
        <f>'Приложение 3'!H182</f>
        <v>949.9939899999999</v>
      </c>
      <c r="H176" s="95">
        <f t="shared" si="2"/>
        <v>100</v>
      </c>
    </row>
    <row r="177" spans="1:8" ht="96" outlineLevel="5">
      <c r="A177" s="54" t="str">
        <f>'Приложение 3'!A183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77" s="93" t="str">
        <f>'Приложение 3'!C183</f>
        <v>0702</v>
      </c>
      <c r="C177" s="93" t="str">
        <f>'Приложение 3'!D183</f>
        <v>22</v>
      </c>
      <c r="D177" s="93">
        <f>'Приложение 3'!E183</f>
        <v>0</v>
      </c>
      <c r="E177" s="93"/>
      <c r="F177" s="76">
        <f>'Приложение 3'!G183</f>
        <v>170</v>
      </c>
      <c r="G177" s="76">
        <f>'Приложение 3'!H183</f>
        <v>170</v>
      </c>
      <c r="H177" s="95">
        <f t="shared" si="2"/>
        <v>100</v>
      </c>
    </row>
    <row r="178" spans="1:8" ht="24" outlineLevel="5">
      <c r="A178" s="54" t="str">
        <f>'Приложение 3'!A184</f>
        <v>Предоставление субсидий бюджетным, автономным учреждениям и иным некоммерческим организациям</v>
      </c>
      <c r="B178" s="93" t="str">
        <f>'Приложение 3'!C184</f>
        <v>0702</v>
      </c>
      <c r="C178" s="93" t="str">
        <f>'Приложение 3'!D184</f>
        <v>22</v>
      </c>
      <c r="D178" s="93">
        <f>'Приложение 3'!E184</f>
        <v>0</v>
      </c>
      <c r="E178" s="93">
        <f>'Приложение 3'!F184</f>
        <v>600</v>
      </c>
      <c r="F178" s="76">
        <f>'Приложение 3'!G184</f>
        <v>170</v>
      </c>
      <c r="G178" s="76">
        <f>'Приложение 3'!H184</f>
        <v>170</v>
      </c>
      <c r="H178" s="95">
        <f t="shared" si="2"/>
        <v>100</v>
      </c>
    </row>
    <row r="179" spans="1:8" ht="36" outlineLevel="5">
      <c r="A179" s="54" t="str">
        <f>'Приложение 3'!A185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79" s="93" t="str">
        <f>'Приложение 3'!C185</f>
        <v>0702</v>
      </c>
      <c r="C179" s="93" t="str">
        <f>'Приложение 3'!D185</f>
        <v>53</v>
      </c>
      <c r="D179" s="93">
        <f>'Приложение 3'!E185</f>
        <v>0</v>
      </c>
      <c r="E179" s="93"/>
      <c r="F179" s="76">
        <f>'Приложение 3'!G185</f>
        <v>158587.74958999996</v>
      </c>
      <c r="G179" s="76">
        <f>'Приложение 3'!H185</f>
        <v>154963.72319999998</v>
      </c>
      <c r="H179" s="95">
        <f t="shared" si="2"/>
        <v>97.71481315589051</v>
      </c>
    </row>
    <row r="180" spans="1:8" ht="12.75" outlineLevel="5">
      <c r="A180" s="54" t="str">
        <f>'Приложение 3'!A186</f>
        <v>За счет средств бюджета муниципального района</v>
      </c>
      <c r="B180" s="93" t="str">
        <f>'Приложение 3'!C186</f>
        <v>0702</v>
      </c>
      <c r="C180" s="93" t="str">
        <f>'Приложение 3'!D186</f>
        <v>53</v>
      </c>
      <c r="D180" s="93">
        <f>'Приложение 3'!E186</f>
        <v>0</v>
      </c>
      <c r="E180" s="93"/>
      <c r="F180" s="76">
        <f>'Приложение 3'!G186</f>
        <v>24181.569589999996</v>
      </c>
      <c r="G180" s="76">
        <f>'Приложение 3'!H186</f>
        <v>24080.62704</v>
      </c>
      <c r="H180" s="95">
        <f t="shared" si="2"/>
        <v>99.58256411096764</v>
      </c>
    </row>
    <row r="181" spans="1:8" ht="48" outlineLevel="5">
      <c r="A181" s="54" t="str">
        <f>'Приложение 3'!A187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1" s="93" t="str">
        <f>'Приложение 3'!C187</f>
        <v>0702</v>
      </c>
      <c r="C181" s="93" t="str">
        <f>'Приложение 3'!D187</f>
        <v>53</v>
      </c>
      <c r="D181" s="93">
        <f>'Приложение 3'!E187</f>
        <v>0</v>
      </c>
      <c r="E181" s="93">
        <f>'Приложение 3'!F187</f>
        <v>100</v>
      </c>
      <c r="F181" s="76">
        <f>'Приложение 3'!G187</f>
        <v>284.51572999999996</v>
      </c>
      <c r="G181" s="76">
        <f>'Приложение 3'!H187</f>
        <v>284.51572999999996</v>
      </c>
      <c r="H181" s="95">
        <f t="shared" si="2"/>
        <v>100</v>
      </c>
    </row>
    <row r="182" spans="1:8" ht="24" outlineLevel="5">
      <c r="A182" s="54" t="str">
        <f>'Приложение 3'!A188</f>
        <v>Закупка товаров, работ и услуг для государственных (муниципальных) нужд</v>
      </c>
      <c r="B182" s="93" t="str">
        <f>'Приложение 3'!C188</f>
        <v>0702</v>
      </c>
      <c r="C182" s="93" t="str">
        <f>'Приложение 3'!D188</f>
        <v>53</v>
      </c>
      <c r="D182" s="93">
        <f>'Приложение 3'!E188</f>
        <v>0</v>
      </c>
      <c r="E182" s="93">
        <f>'Приложение 3'!F188</f>
        <v>200</v>
      </c>
      <c r="F182" s="76">
        <f>'Приложение 3'!G188</f>
        <v>1605.1241100000002</v>
      </c>
      <c r="G182" s="76">
        <f>'Приложение 3'!H188</f>
        <v>1510.38486</v>
      </c>
      <c r="H182" s="95">
        <f t="shared" si="2"/>
        <v>94.09769939845958</v>
      </c>
    </row>
    <row r="183" spans="1:8" ht="12.75" outlineLevel="5">
      <c r="A183" s="54" t="str">
        <f>'Приложение 3'!A189</f>
        <v>Иные бюджетные ассигнования</v>
      </c>
      <c r="B183" s="93" t="str">
        <f>'Приложение 3'!C189</f>
        <v>0702</v>
      </c>
      <c r="C183" s="93" t="str">
        <f>'Приложение 3'!D189</f>
        <v>53</v>
      </c>
      <c r="D183" s="93">
        <f>'Приложение 3'!E189</f>
        <v>0</v>
      </c>
      <c r="E183" s="93">
        <f>'Приложение 3'!F189</f>
        <v>800</v>
      </c>
      <c r="F183" s="76">
        <f>'Приложение 3'!G189</f>
        <v>41.74757</v>
      </c>
      <c r="G183" s="76">
        <f>'Приложение 3'!H189</f>
        <v>41.74757</v>
      </c>
      <c r="H183" s="95">
        <f t="shared" si="2"/>
        <v>100</v>
      </c>
    </row>
    <row r="184" spans="1:8" ht="24" outlineLevel="5">
      <c r="A184" s="54" t="str">
        <f>'Приложение 3'!A190</f>
        <v>Предоставление субсидий бюджетным, автономным учреждениям и иным некоммерческим организациям</v>
      </c>
      <c r="B184" s="93" t="str">
        <f>'Приложение 3'!C190</f>
        <v>0702</v>
      </c>
      <c r="C184" s="93" t="str">
        <f>'Приложение 3'!D190</f>
        <v>53</v>
      </c>
      <c r="D184" s="93">
        <f>'Приложение 3'!E190</f>
        <v>0</v>
      </c>
      <c r="E184" s="93">
        <f>'Приложение 3'!F190</f>
        <v>600</v>
      </c>
      <c r="F184" s="76">
        <f>'Приложение 3'!G190</f>
        <v>22250.182179999996</v>
      </c>
      <c r="G184" s="76">
        <f>'Приложение 3'!H190</f>
        <v>22243.97888</v>
      </c>
      <c r="H184" s="95">
        <f t="shared" si="2"/>
        <v>99.97212022827581</v>
      </c>
    </row>
    <row r="185" spans="1:8" ht="12.75" outlineLevel="5">
      <c r="A185" s="54" t="str">
        <f>'Приложение 3'!A191</f>
        <v>За счет средств областного бюджета </v>
      </c>
      <c r="B185" s="93" t="str">
        <f>'Приложение 3'!C191</f>
        <v>0702</v>
      </c>
      <c r="C185" s="93" t="str">
        <f>'Приложение 3'!D191</f>
        <v>53</v>
      </c>
      <c r="D185" s="93">
        <f>'Приложение 3'!E191</f>
        <v>0</v>
      </c>
      <c r="E185" s="93"/>
      <c r="F185" s="76">
        <f>'Приложение 3'!G191</f>
        <v>134406.17999999996</v>
      </c>
      <c r="G185" s="76">
        <f>'Приложение 3'!H191</f>
        <v>130883.09615999999</v>
      </c>
      <c r="H185" s="95">
        <f t="shared" si="2"/>
        <v>97.37877838652956</v>
      </c>
    </row>
    <row r="186" spans="1:8" ht="46.5" customHeight="1" outlineLevel="5">
      <c r="A186" s="54" t="str">
        <f>'Приложение 3'!A192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6" s="93" t="str">
        <f>'Приложение 3'!C192</f>
        <v>0702</v>
      </c>
      <c r="C186" s="93" t="str">
        <f>'Приложение 3'!D192</f>
        <v>53</v>
      </c>
      <c r="D186" s="93">
        <f>'Приложение 3'!E192</f>
        <v>0</v>
      </c>
      <c r="E186" s="93">
        <f>'Приложение 3'!F192</f>
        <v>100</v>
      </c>
      <c r="F186" s="76">
        <f>'Приложение 3'!G192</f>
        <v>7570.999999999999</v>
      </c>
      <c r="G186" s="76">
        <f>'Приложение 3'!H192</f>
        <v>7287.264889999999</v>
      </c>
      <c r="H186" s="95">
        <f t="shared" si="2"/>
        <v>96.25234301941619</v>
      </c>
    </row>
    <row r="187" spans="1:8" ht="48" outlineLevel="5">
      <c r="A187" s="54" t="str">
        <f>'Приложение 3'!A193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за счет средств областного бюджета </v>
      </c>
      <c r="B187" s="93" t="str">
        <f>'Приложение 3'!C193</f>
        <v>0702</v>
      </c>
      <c r="C187" s="93" t="str">
        <f>'Приложение 3'!D193</f>
        <v>53</v>
      </c>
      <c r="D187" s="93">
        <f>'Приложение 3'!E193</f>
        <v>0</v>
      </c>
      <c r="E187" s="93">
        <f>'Приложение 3'!F193</f>
        <v>100</v>
      </c>
      <c r="F187" s="76">
        <f>'Приложение 3'!G193</f>
        <v>175.42064</v>
      </c>
      <c r="G187" s="76">
        <f>'Приложение 3'!H193</f>
        <v>175.42064</v>
      </c>
      <c r="H187" s="95">
        <f t="shared" si="2"/>
        <v>100</v>
      </c>
    </row>
    <row r="188" spans="1:8" ht="21.75" customHeight="1" outlineLevel="5">
      <c r="A188" s="54" t="str">
        <f>'Приложение 3'!A194</f>
        <v>Закупка товаров, работ и услуг для государственных (муниципальных) нужд</v>
      </c>
      <c r="B188" s="93" t="str">
        <f>'Приложение 3'!C194</f>
        <v>0702</v>
      </c>
      <c r="C188" s="93" t="str">
        <f>'Приложение 3'!D194</f>
        <v>53</v>
      </c>
      <c r="D188" s="93">
        <f>'Приложение 3'!E194</f>
        <v>0</v>
      </c>
      <c r="E188" s="93">
        <f>'Приложение 3'!F194</f>
        <v>200</v>
      </c>
      <c r="F188" s="76">
        <f>'Приложение 3'!G194</f>
        <v>158.40914</v>
      </c>
      <c r="G188" s="76">
        <f>'Приложение 3'!H194</f>
        <v>158.40914</v>
      </c>
      <c r="H188" s="95">
        <f t="shared" si="2"/>
        <v>100</v>
      </c>
    </row>
    <row r="189" spans="1:8" ht="12.75" outlineLevel="5">
      <c r="A189" s="54" t="str">
        <f>'Приложение 3'!A195</f>
        <v>За счет средств областного бюджета на питание</v>
      </c>
      <c r="B189" s="93" t="str">
        <f>'Приложение 3'!C195</f>
        <v>0702</v>
      </c>
      <c r="C189" s="93" t="str">
        <f>'Приложение 3'!D195</f>
        <v>53</v>
      </c>
      <c r="D189" s="93">
        <f>'Приложение 3'!E195</f>
        <v>0</v>
      </c>
      <c r="E189" s="93">
        <f>'Приложение 3'!F195</f>
        <v>200</v>
      </c>
      <c r="F189" s="76">
        <f>'Приложение 3'!G195</f>
        <v>73.53999999999999</v>
      </c>
      <c r="G189" s="76">
        <f>'Приложение 3'!H195</f>
        <v>73.53999999999999</v>
      </c>
      <c r="H189" s="95">
        <f t="shared" si="2"/>
        <v>100</v>
      </c>
    </row>
    <row r="190" spans="1:8" ht="25.5" customHeight="1" outlineLevel="5">
      <c r="A190" s="54" t="str">
        <f>'Приложение 3'!A196</f>
        <v>За счет средств областного бюджета на образовательный процесс</v>
      </c>
      <c r="B190" s="93" t="str">
        <f>'Приложение 3'!C196</f>
        <v>0702</v>
      </c>
      <c r="C190" s="93" t="str">
        <f>'Приложение 3'!D196</f>
        <v>53</v>
      </c>
      <c r="D190" s="93">
        <f>'Приложение 3'!E196</f>
        <v>0</v>
      </c>
      <c r="E190" s="93">
        <f>'Приложение 3'!F196</f>
        <v>600</v>
      </c>
      <c r="F190" s="76">
        <f>'Приложение 3'!G196</f>
        <v>120592.94245999998</v>
      </c>
      <c r="G190" s="76">
        <f>'Приложение 3'!H196</f>
        <v>117416.69372999998</v>
      </c>
      <c r="H190" s="95">
        <f t="shared" si="2"/>
        <v>97.36614045133402</v>
      </c>
    </row>
    <row r="191" spans="1:8" ht="48" outlineLevel="5">
      <c r="A191" s="54" t="str">
        <f>'Приложение 3'!A197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91" s="93" t="str">
        <f>'Приложение 3'!C197</f>
        <v>0702</v>
      </c>
      <c r="C191" s="93" t="str">
        <f>'Приложение 3'!D197</f>
        <v>53</v>
      </c>
      <c r="D191" s="93">
        <f>'Приложение 3'!E197</f>
        <v>0</v>
      </c>
      <c r="E191" s="93">
        <f>'Приложение 3'!F197</f>
        <v>600</v>
      </c>
      <c r="F191" s="76">
        <f>'Приложение 3'!G197</f>
        <v>1849.40776</v>
      </c>
      <c r="G191" s="76">
        <f>'Приложение 3'!H197</f>
        <v>1849.40776</v>
      </c>
      <c r="H191" s="95">
        <f t="shared" si="2"/>
        <v>100</v>
      </c>
    </row>
    <row r="192" spans="1:8" ht="12" customHeight="1" outlineLevel="5">
      <c r="A192" s="54" t="str">
        <f>'Приложение 3'!A198</f>
        <v>За счет средств областного бюджета на питание</v>
      </c>
      <c r="B192" s="93" t="str">
        <f>'Приложение 3'!C198</f>
        <v>0702</v>
      </c>
      <c r="C192" s="93" t="str">
        <f>'Приложение 3'!D198</f>
        <v>53</v>
      </c>
      <c r="D192" s="93">
        <f>'Приложение 3'!E198</f>
        <v>0</v>
      </c>
      <c r="E192" s="93">
        <f>'Приложение 3'!F198</f>
        <v>600</v>
      </c>
      <c r="F192" s="76">
        <f>'Приложение 3'!G198</f>
        <v>3726.460000000001</v>
      </c>
      <c r="G192" s="76">
        <f>'Приложение 3'!H198</f>
        <v>3726.46</v>
      </c>
      <c r="H192" s="95">
        <f t="shared" si="2"/>
        <v>99.99999999999997</v>
      </c>
    </row>
    <row r="193" spans="1:8" ht="24" outlineLevel="5">
      <c r="A193" s="54" t="str">
        <f>'Приложение 3'!A199</f>
        <v>За счет средств на расходы на осуществление социальных гарантий молодым специалистам</v>
      </c>
      <c r="B193" s="93" t="str">
        <f>'Приложение 3'!C199</f>
        <v>0702</v>
      </c>
      <c r="C193" s="93" t="str">
        <f>'Приложение 3'!D199</f>
        <v>53</v>
      </c>
      <c r="D193" s="93">
        <f>'Приложение 3'!E199</f>
        <v>0</v>
      </c>
      <c r="E193" s="93">
        <f>'Приложение 3'!F199</f>
        <v>600</v>
      </c>
      <c r="F193" s="76">
        <f>'Приложение 3'!G199</f>
        <v>259</v>
      </c>
      <c r="G193" s="76">
        <f>'Приложение 3'!H199</f>
        <v>195.9</v>
      </c>
      <c r="H193" s="95">
        <f t="shared" si="2"/>
        <v>75.63706563706563</v>
      </c>
    </row>
    <row r="194" spans="1:8" ht="12" customHeight="1" outlineLevel="5">
      <c r="A194" s="54" t="str">
        <f>'Приложение 3'!A200</f>
        <v>Дополнительное образование детей</v>
      </c>
      <c r="B194" s="93" t="str">
        <f>'Приложение 3'!C200</f>
        <v>0703</v>
      </c>
      <c r="C194" s="93"/>
      <c r="D194" s="93"/>
      <c r="E194" s="93"/>
      <c r="F194" s="76">
        <f>'Приложение 3'!G200</f>
        <v>11894.799599999998</v>
      </c>
      <c r="G194" s="76">
        <f>'Приложение 3'!H200</f>
        <v>11888.05013</v>
      </c>
      <c r="H194" s="95">
        <f t="shared" si="2"/>
        <v>99.94325696752387</v>
      </c>
    </row>
    <row r="195" spans="1:8" ht="44.25" customHeight="1" hidden="1" outlineLevel="5">
      <c r="A195" s="54" t="str">
        <f>'Приложение 3'!A201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95" s="93" t="str">
        <f>'Приложение 3'!C201</f>
        <v>0703</v>
      </c>
      <c r="C195" s="93" t="str">
        <f>'Приложение 3'!D201</f>
        <v>02</v>
      </c>
      <c r="D195" s="93">
        <f>'Приложение 3'!E201</f>
        <v>0</v>
      </c>
      <c r="E195" s="93"/>
      <c r="F195" s="76">
        <f>'Приложение 3'!G201</f>
        <v>0</v>
      </c>
      <c r="G195" s="76">
        <f>'Приложение 3'!H201</f>
        <v>0</v>
      </c>
      <c r="H195" s="95" t="e">
        <f t="shared" si="2"/>
        <v>#DIV/0!</v>
      </c>
    </row>
    <row r="196" spans="1:8" ht="36" hidden="1" outlineLevel="5">
      <c r="A196" s="54" t="str">
        <f>'Приложение 3'!A202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96" s="93" t="str">
        <f>'Приложение 3'!C202</f>
        <v>0703</v>
      </c>
      <c r="C196" s="93" t="str">
        <f>'Приложение 3'!D202</f>
        <v>02</v>
      </c>
      <c r="D196" s="93">
        <f>'Приложение 3'!E202</f>
        <v>3</v>
      </c>
      <c r="E196" s="93"/>
      <c r="F196" s="76">
        <f>'Приложение 3'!G202</f>
        <v>0</v>
      </c>
      <c r="G196" s="76">
        <f>'Приложение 3'!H202</f>
        <v>0</v>
      </c>
      <c r="H196" s="95" t="e">
        <f t="shared" si="2"/>
        <v>#DIV/0!</v>
      </c>
    </row>
    <row r="197" spans="1:8" ht="24" hidden="1" outlineLevel="5">
      <c r="A197" s="54" t="str">
        <f>'Приложение 3'!A203</f>
        <v>Предоставление субсидий бюджетным, автономным учреждениям и иным некоммерческим организациям</v>
      </c>
      <c r="B197" s="93" t="str">
        <f>'Приложение 3'!C203</f>
        <v>0703</v>
      </c>
      <c r="C197" s="93" t="str">
        <f>'Приложение 3'!D203</f>
        <v>02</v>
      </c>
      <c r="D197" s="93">
        <f>'Приложение 3'!E203</f>
        <v>3</v>
      </c>
      <c r="E197" s="93">
        <f>'Приложение 3'!F203</f>
        <v>600</v>
      </c>
      <c r="F197" s="76">
        <f>'Приложение 3'!G203</f>
        <v>0</v>
      </c>
      <c r="G197" s="76">
        <f>'Приложение 3'!H203</f>
        <v>0</v>
      </c>
      <c r="H197" s="95" t="e">
        <f t="shared" si="2"/>
        <v>#DIV/0!</v>
      </c>
    </row>
    <row r="198" spans="1:8" ht="48" outlineLevel="5">
      <c r="A198" s="54" t="str">
        <f>'Приложение 3'!A204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198" s="93" t="str">
        <f>'Приложение 3'!C204</f>
        <v>0703</v>
      </c>
      <c r="C198" s="93" t="str">
        <f>'Приложение 3'!D204</f>
        <v>54</v>
      </c>
      <c r="D198" s="93">
        <f>'Приложение 3'!E204</f>
        <v>0</v>
      </c>
      <c r="E198" s="93"/>
      <c r="F198" s="76">
        <f>'Приложение 3'!G204</f>
        <v>5800.6</v>
      </c>
      <c r="G198" s="76">
        <f>'Приложение 3'!H204</f>
        <v>5800.6</v>
      </c>
      <c r="H198" s="95">
        <f t="shared" si="2"/>
        <v>100</v>
      </c>
    </row>
    <row r="199" spans="1:8" ht="24" outlineLevel="5">
      <c r="A199" s="54" t="str">
        <f>'Приложение 3'!A205</f>
        <v>Предоставление субсидий бюджетным, автономным учреждениям и иным некоммерческим организациям</v>
      </c>
      <c r="B199" s="93" t="str">
        <f>'Приложение 3'!C205</f>
        <v>0703</v>
      </c>
      <c r="C199" s="93" t="str">
        <f>'Приложение 3'!D205</f>
        <v>54</v>
      </c>
      <c r="D199" s="93">
        <f>'Приложение 3'!E205</f>
        <v>0</v>
      </c>
      <c r="E199" s="93">
        <f>'Приложение 3'!F205</f>
        <v>600</v>
      </c>
      <c r="F199" s="76">
        <f>'Приложение 3'!G205</f>
        <v>5800.6</v>
      </c>
      <c r="G199" s="76">
        <f>'Приложение 3'!H205</f>
        <v>5800.6</v>
      </c>
      <c r="H199" s="95">
        <f t="shared" si="2"/>
        <v>100</v>
      </c>
    </row>
    <row r="200" spans="1:8" ht="48" outlineLevel="5">
      <c r="A200" s="54" t="str">
        <f>'Приложение 3'!A206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0" s="93" t="str">
        <f>'Приложение 3'!C206</f>
        <v>0703</v>
      </c>
      <c r="C200" s="93" t="str">
        <f>'Приложение 3'!D206</f>
        <v>55</v>
      </c>
      <c r="D200" s="93">
        <f>'Приложение 3'!E206</f>
        <v>0</v>
      </c>
      <c r="E200" s="93"/>
      <c r="F200" s="76">
        <f>'Приложение 3'!G206</f>
        <v>6094.199599999999</v>
      </c>
      <c r="G200" s="76">
        <f>'Приложение 3'!H206</f>
        <v>6087.45013</v>
      </c>
      <c r="H200" s="95">
        <f t="shared" si="2"/>
        <v>99.88924763803276</v>
      </c>
    </row>
    <row r="201" spans="1:8" ht="24" outlineLevel="5">
      <c r="A201" s="54" t="str">
        <f>'Приложение 3'!A207</f>
        <v>Предоставление субсидий бюджетным, автономным учреждениям и иным некоммерческим организациям</v>
      </c>
      <c r="B201" s="93" t="str">
        <f>'Приложение 3'!C207</f>
        <v>0703</v>
      </c>
      <c r="C201" s="93" t="str">
        <f>'Приложение 3'!D207</f>
        <v>55</v>
      </c>
      <c r="D201" s="93">
        <f>'Приложение 3'!E207</f>
        <v>0</v>
      </c>
      <c r="E201" s="93">
        <f>'Приложение 3'!F207</f>
        <v>600</v>
      </c>
      <c r="F201" s="76">
        <f>'Приложение 3'!G207</f>
        <v>6094.199599999999</v>
      </c>
      <c r="G201" s="76">
        <f>'Приложение 3'!H207</f>
        <v>6087.45013</v>
      </c>
      <c r="H201" s="95">
        <f aca="true" t="shared" si="3" ref="H201:H264">SUM(G201/F201)*100</f>
        <v>99.88924763803276</v>
      </c>
    </row>
    <row r="202" spans="1:8" ht="12.75" outlineLevel="5">
      <c r="A202" s="54" t="str">
        <f>'Приложение 3'!A208</f>
        <v>Молодежная политика и оздоровление детей</v>
      </c>
      <c r="B202" s="93" t="str">
        <f>'Приложение 3'!C208</f>
        <v>0707</v>
      </c>
      <c r="C202" s="93">
        <f>'Приложение 3'!D208</f>
      </c>
      <c r="D202" s="93">
        <f>'Приложение 3'!E208</f>
      </c>
      <c r="E202" s="93"/>
      <c r="F202" s="76">
        <f>'Приложение 3'!G208</f>
        <v>7780.560979999999</v>
      </c>
      <c r="G202" s="76">
        <f>'Приложение 3'!H208</f>
        <v>7780.560979999999</v>
      </c>
      <c r="H202" s="95">
        <f t="shared" si="3"/>
        <v>100</v>
      </c>
    </row>
    <row r="203" spans="1:8" ht="63" customHeight="1" outlineLevel="5">
      <c r="A203" s="54" t="str">
        <f>'Приложение 3'!A209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03" s="93" t="str">
        <f>'Приложение 3'!C209</f>
        <v>0707</v>
      </c>
      <c r="C203" s="93" t="str">
        <f>'Приложение 3'!D209</f>
        <v>07</v>
      </c>
      <c r="D203" s="93">
        <f>'Приложение 3'!E209</f>
        <v>0</v>
      </c>
      <c r="E203" s="93"/>
      <c r="F203" s="76">
        <f>'Приложение 3'!G209</f>
        <v>200</v>
      </c>
      <c r="G203" s="76">
        <f>'Приложение 3'!H209</f>
        <v>200</v>
      </c>
      <c r="H203" s="95">
        <f t="shared" si="3"/>
        <v>100</v>
      </c>
    </row>
    <row r="204" spans="1:8" ht="24" outlineLevel="5">
      <c r="A204" s="54" t="str">
        <f>'Приложение 3'!A210</f>
        <v>Подпрограмма "Комплексные меры по противодействию наркомании"</v>
      </c>
      <c r="B204" s="93" t="str">
        <f>'Приложение 3'!C210</f>
        <v>0707</v>
      </c>
      <c r="C204" s="93" t="str">
        <f>'Приложение 3'!D210</f>
        <v>07</v>
      </c>
      <c r="D204" s="93">
        <f>'Приложение 3'!E210</f>
        <v>1</v>
      </c>
      <c r="E204" s="93"/>
      <c r="F204" s="76">
        <f>'Приложение 3'!G210</f>
        <v>50</v>
      </c>
      <c r="G204" s="76">
        <f>'Приложение 3'!H210</f>
        <v>50</v>
      </c>
      <c r="H204" s="95">
        <f t="shared" si="3"/>
        <v>100</v>
      </c>
    </row>
    <row r="205" spans="1:8" ht="25.5" customHeight="1" outlineLevel="5">
      <c r="A205" s="54" t="str">
        <f>'Приложение 3'!A211</f>
        <v>Закупка товаров, работ и услуг для государственных (муниципальных) нужд</v>
      </c>
      <c r="B205" s="93" t="str">
        <f>'Приложение 3'!C211</f>
        <v>0707</v>
      </c>
      <c r="C205" s="93" t="str">
        <f>'Приложение 3'!D211</f>
        <v>07</v>
      </c>
      <c r="D205" s="93">
        <f>'Приложение 3'!E211</f>
        <v>1</v>
      </c>
      <c r="E205" s="93">
        <f>'Приложение 3'!F211</f>
        <v>200</v>
      </c>
      <c r="F205" s="76">
        <f>'Приложение 3'!G211</f>
        <v>50</v>
      </c>
      <c r="G205" s="76">
        <f>'Приложение 3'!H211</f>
        <v>50</v>
      </c>
      <c r="H205" s="95">
        <f t="shared" si="3"/>
        <v>100</v>
      </c>
    </row>
    <row r="206" spans="1:8" ht="24" outlineLevel="5">
      <c r="A206" s="54" t="str">
        <f>'Приложение 3'!A212</f>
        <v>Подпрограмма "Реализация мероприятий молодежной политики и социальной адаптации молодежи "</v>
      </c>
      <c r="B206" s="93" t="str">
        <f>'Приложение 3'!C212</f>
        <v>0707</v>
      </c>
      <c r="C206" s="93" t="str">
        <f>'Приложение 3'!D212</f>
        <v>07</v>
      </c>
      <c r="D206" s="93">
        <f>'Приложение 3'!E212</f>
        <v>2</v>
      </c>
      <c r="E206" s="93"/>
      <c r="F206" s="76">
        <f>'Приложение 3'!G212</f>
        <v>100</v>
      </c>
      <c r="G206" s="76">
        <f>'Приложение 3'!H212</f>
        <v>100</v>
      </c>
      <c r="H206" s="95">
        <f t="shared" si="3"/>
        <v>100</v>
      </c>
    </row>
    <row r="207" spans="1:8" ht="27" customHeight="1" outlineLevel="5">
      <c r="A207" s="54" t="str">
        <f>'Приложение 3'!A213</f>
        <v>Закупка товаров, работ и услуг для государственных (муниципальных) нужд</v>
      </c>
      <c r="B207" s="93" t="str">
        <f>'Приложение 3'!C213</f>
        <v>0707</v>
      </c>
      <c r="C207" s="93" t="str">
        <f>'Приложение 3'!D213</f>
        <v>07</v>
      </c>
      <c r="D207" s="93">
        <f>'Приложение 3'!E213</f>
        <v>2</v>
      </c>
      <c r="E207" s="93">
        <f>'Приложение 3'!F213</f>
        <v>200</v>
      </c>
      <c r="F207" s="76">
        <f>'Приложение 3'!G213</f>
        <v>100</v>
      </c>
      <c r="G207" s="76">
        <f>'Приложение 3'!H213</f>
        <v>100</v>
      </c>
      <c r="H207" s="95">
        <f t="shared" si="3"/>
        <v>100</v>
      </c>
    </row>
    <row r="208" spans="1:8" ht="24" outlineLevel="5">
      <c r="A208" s="54" t="str">
        <f>'Приложение 3'!A214</f>
        <v>Подпрограмма " Профилактика безнадзорности, правонарушений и неблагополучия несовершеннолетних"</v>
      </c>
      <c r="B208" s="93" t="str">
        <f>'Приложение 3'!C214</f>
        <v>0707</v>
      </c>
      <c r="C208" s="93" t="str">
        <f>'Приложение 3'!D214</f>
        <v>07</v>
      </c>
      <c r="D208" s="93">
        <f>'Приложение 3'!E214</f>
        <v>3</v>
      </c>
      <c r="E208" s="93"/>
      <c r="F208" s="76">
        <f>'Приложение 3'!G214</f>
        <v>50</v>
      </c>
      <c r="G208" s="76">
        <f>'Приложение 3'!H214</f>
        <v>50</v>
      </c>
      <c r="H208" s="95">
        <f t="shared" si="3"/>
        <v>100</v>
      </c>
    </row>
    <row r="209" spans="1:8" ht="24" customHeight="1" outlineLevel="5">
      <c r="A209" s="54" t="str">
        <f>'Приложение 3'!A215</f>
        <v>Закупка товаров, работ и услуг для государственных (муниципальных) нужд</v>
      </c>
      <c r="B209" s="93" t="str">
        <f>'Приложение 3'!C215</f>
        <v>0707</v>
      </c>
      <c r="C209" s="93" t="str">
        <f>'Приложение 3'!D215</f>
        <v>07</v>
      </c>
      <c r="D209" s="93">
        <f>'Приложение 3'!E215</f>
        <v>3</v>
      </c>
      <c r="E209" s="93">
        <f>'Приложение 3'!F215</f>
        <v>200</v>
      </c>
      <c r="F209" s="76">
        <f>'Приложение 3'!G215</f>
        <v>50</v>
      </c>
      <c r="G209" s="76">
        <f>'Приложение 3'!H215</f>
        <v>50</v>
      </c>
      <c r="H209" s="95">
        <f t="shared" si="3"/>
        <v>100</v>
      </c>
    </row>
    <row r="210" spans="1:8" ht="24" customHeight="1" outlineLevel="5">
      <c r="A210" s="54" t="str">
        <f>'Приложение 3'!A216</f>
        <v>Закупка товаров, работ и услуг для государственных (муниципальных) нужд</v>
      </c>
      <c r="B210" s="93" t="str">
        <f>'Приложение 3'!C216</f>
        <v>0707</v>
      </c>
      <c r="C210" s="93" t="str">
        <f>'Приложение 3'!D216</f>
        <v>07</v>
      </c>
      <c r="D210" s="93">
        <f>'Приложение 3'!E216</f>
        <v>3</v>
      </c>
      <c r="E210" s="93">
        <f>'Приложение 3'!F216</f>
        <v>200</v>
      </c>
      <c r="F210" s="76">
        <f>'Приложение 3'!G216</f>
        <v>0</v>
      </c>
      <c r="G210" s="76">
        <f>'Приложение 3'!H216</f>
        <v>0</v>
      </c>
      <c r="H210" s="95">
        <v>0</v>
      </c>
    </row>
    <row r="211" spans="1:8" ht="25.5" customHeight="1" outlineLevel="5">
      <c r="A211" s="54" t="str">
        <f>'Приложение 3'!A217</f>
        <v>Закупка товаров, работ и услуг для государственных (муниципальных) нужд</v>
      </c>
      <c r="B211" s="93" t="str">
        <f>'Приложение 3'!C217</f>
        <v>0707</v>
      </c>
      <c r="C211" s="93" t="str">
        <f>'Приложение 3'!D217</f>
        <v>07</v>
      </c>
      <c r="D211" s="93">
        <f>'Приложение 3'!E217</f>
        <v>3</v>
      </c>
      <c r="E211" s="93">
        <f>'Приложение 3'!F217</f>
        <v>200</v>
      </c>
      <c r="F211" s="76">
        <f>'Приложение 3'!G217</f>
        <v>0</v>
      </c>
      <c r="G211" s="76">
        <f>'Приложение 3'!H217</f>
        <v>0</v>
      </c>
      <c r="H211" s="95">
        <v>0</v>
      </c>
    </row>
    <row r="212" spans="1:8" ht="36" outlineLevel="5">
      <c r="A212" s="54" t="str">
        <f>'Приложение 3'!A218</f>
        <v>Ведомственная целевая программа "Молодежная политика на территории Алексеевского муниципального района на 2019-2021 годы" (СДЦ)</v>
      </c>
      <c r="B212" s="93" t="str">
        <f>'Приложение 3'!C218</f>
        <v>0707</v>
      </c>
      <c r="C212" s="93" t="str">
        <f>'Приложение 3'!D218</f>
        <v>56</v>
      </c>
      <c r="D212" s="93">
        <f>'Приложение 3'!E218</f>
        <v>0</v>
      </c>
      <c r="E212" s="93"/>
      <c r="F212" s="76">
        <f>'Приложение 3'!G218</f>
        <v>6080.260979999999</v>
      </c>
      <c r="G212" s="76">
        <f>'Приложение 3'!H218</f>
        <v>6080.260979999999</v>
      </c>
      <c r="H212" s="95">
        <f t="shared" si="3"/>
        <v>100</v>
      </c>
    </row>
    <row r="213" spans="1:8" ht="31.5" customHeight="1" outlineLevel="5">
      <c r="A213" s="54" t="str">
        <f>'Приложение 3'!A219</f>
        <v>Предоставление субсидий бюджетным, автономным учреждениям и иным некоммерческим организациям</v>
      </c>
      <c r="B213" s="93" t="str">
        <f>'Приложение 3'!C219</f>
        <v>0707</v>
      </c>
      <c r="C213" s="93" t="str">
        <f>'Приложение 3'!D219</f>
        <v>56</v>
      </c>
      <c r="D213" s="93">
        <f>'Приложение 3'!E219</f>
        <v>0</v>
      </c>
      <c r="E213" s="93">
        <f>'Приложение 3'!F219</f>
        <v>600</v>
      </c>
      <c r="F213" s="76">
        <f>'Приложение 3'!G219</f>
        <v>6080.260979999999</v>
      </c>
      <c r="G213" s="76">
        <f>'Приложение 3'!H219</f>
        <v>6080.260979999999</v>
      </c>
      <c r="H213" s="95">
        <f t="shared" si="3"/>
        <v>100</v>
      </c>
    </row>
    <row r="214" spans="1:8" ht="18" customHeight="1" outlineLevel="5">
      <c r="A214" s="54" t="str">
        <f>'Приложение 3'!A220</f>
        <v>Организация отдыха детей в лагерях дневного пребывания</v>
      </c>
      <c r="B214" s="93" t="str">
        <f>'Приложение 3'!C220</f>
        <v>0707</v>
      </c>
      <c r="C214" s="93" t="str">
        <f>'Приложение 3'!D220</f>
        <v>99</v>
      </c>
      <c r="D214" s="93"/>
      <c r="E214" s="93"/>
      <c r="F214" s="76">
        <f>'Приложение 3'!G220</f>
        <v>1500.3</v>
      </c>
      <c r="G214" s="76">
        <f>'Приложение 3'!H220</f>
        <v>1500.3</v>
      </c>
      <c r="H214" s="95">
        <f t="shared" si="3"/>
        <v>100</v>
      </c>
    </row>
    <row r="215" spans="1:8" ht="29.25" customHeight="1" outlineLevel="5">
      <c r="A215" s="54" t="str">
        <f>'Приложение 3'!A221</f>
        <v>Непрограммные расходы органов местного самоуправления Алексеевского муниципального района</v>
      </c>
      <c r="B215" s="93" t="str">
        <f>'Приложение 3'!C221</f>
        <v>0707</v>
      </c>
      <c r="C215" s="93" t="str">
        <f>'Приложение 3'!D221</f>
        <v>99</v>
      </c>
      <c r="D215" s="93"/>
      <c r="E215" s="93"/>
      <c r="F215" s="76">
        <f>'Приложение 3'!G221</f>
        <v>1500.3</v>
      </c>
      <c r="G215" s="76">
        <f>'Приложение 3'!H221</f>
        <v>1500.3</v>
      </c>
      <c r="H215" s="95">
        <f t="shared" si="3"/>
        <v>100</v>
      </c>
    </row>
    <row r="216" spans="1:8" ht="39.75" customHeight="1" outlineLevel="5">
      <c r="A216" s="54" t="str">
        <f>'Приложение 3'!A222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16" s="93" t="str">
        <f>'Приложение 3'!C222</f>
        <v>0707</v>
      </c>
      <c r="C216" s="93" t="str">
        <f>'Приложение 3'!D222</f>
        <v>99</v>
      </c>
      <c r="D216" s="93">
        <f>'Приложение 3'!E222</f>
        <v>0</v>
      </c>
      <c r="E216" s="93">
        <f>'Приложение 3'!F222</f>
        <v>600</v>
      </c>
      <c r="F216" s="76">
        <f>'Приложение 3'!G222</f>
        <v>1428.8</v>
      </c>
      <c r="G216" s="76">
        <f>'Приложение 3'!H222</f>
        <v>1428.8</v>
      </c>
      <c r="H216" s="95">
        <f t="shared" si="3"/>
        <v>100</v>
      </c>
    </row>
    <row r="217" spans="1:8" ht="31.5" customHeight="1" outlineLevel="5">
      <c r="A217" s="54" t="str">
        <f>'Приложение 3'!A223</f>
        <v>Предоставление субсидий бюджетным, автономным учреждениям и иным некоммерческим организациям</v>
      </c>
      <c r="B217" s="93" t="str">
        <f>'Приложение 3'!C223</f>
        <v>0707</v>
      </c>
      <c r="C217" s="93" t="str">
        <f>'Приложение 3'!D223</f>
        <v>99</v>
      </c>
      <c r="D217" s="93">
        <f>'Приложение 3'!E223</f>
        <v>0</v>
      </c>
      <c r="E217" s="93">
        <f>'Приложение 3'!F223</f>
        <v>600</v>
      </c>
      <c r="F217" s="76">
        <f>'Приложение 3'!G223</f>
        <v>71.5</v>
      </c>
      <c r="G217" s="76">
        <f>'Приложение 3'!H223</f>
        <v>71.5</v>
      </c>
      <c r="H217" s="95">
        <f t="shared" si="3"/>
        <v>100</v>
      </c>
    </row>
    <row r="218" spans="1:8" ht="12.75" outlineLevel="5">
      <c r="A218" s="54" t="str">
        <f>'Приложение 3'!A224</f>
        <v>Другие вопросы в области образования</v>
      </c>
      <c r="B218" s="93" t="str">
        <f>'Приложение 3'!C224</f>
        <v>0709</v>
      </c>
      <c r="C218" s="93"/>
      <c r="D218" s="93"/>
      <c r="E218" s="93"/>
      <c r="F218" s="76">
        <f>'Приложение 3'!G224</f>
        <v>1397.08448</v>
      </c>
      <c r="G218" s="76">
        <f>'Приложение 3'!H224</f>
        <v>1397.08448</v>
      </c>
      <c r="H218" s="95">
        <f t="shared" si="3"/>
        <v>100</v>
      </c>
    </row>
    <row r="219" spans="1:8" ht="64.5" customHeight="1" outlineLevel="5">
      <c r="A219" s="54" t="str">
        <f>'Приложение 3'!A225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19" s="93" t="str">
        <f>'Приложение 3'!C225</f>
        <v>0709</v>
      </c>
      <c r="C219" s="93" t="str">
        <f>'Приложение 3'!D225</f>
        <v>08</v>
      </c>
      <c r="D219" s="93">
        <f>'Приложение 3'!E225</f>
        <v>0</v>
      </c>
      <c r="E219" s="93"/>
      <c r="F219" s="76">
        <f>'Приложение 3'!G225</f>
        <v>20</v>
      </c>
      <c r="G219" s="76">
        <f>'Приложение 3'!H225</f>
        <v>20</v>
      </c>
      <c r="H219" s="95">
        <f t="shared" si="3"/>
        <v>100</v>
      </c>
    </row>
    <row r="220" spans="1:8" ht="15.75" customHeight="1" outlineLevel="5">
      <c r="A220" s="54" t="str">
        <f>'Приложение 3'!A226</f>
        <v>Социальное обеспечение и иные выплаты населению</v>
      </c>
      <c r="B220" s="93" t="str">
        <f>'Приложение 3'!C226</f>
        <v>0709</v>
      </c>
      <c r="C220" s="93" t="str">
        <f>'Приложение 3'!D226</f>
        <v>08</v>
      </c>
      <c r="D220" s="93">
        <f>'Приложение 3'!E226</f>
        <v>0</v>
      </c>
      <c r="E220" s="93" t="s">
        <v>225</v>
      </c>
      <c r="F220" s="76">
        <f>'Приложение 3'!G226</f>
        <v>20</v>
      </c>
      <c r="G220" s="76">
        <f>'Приложение 3'!H226</f>
        <v>20</v>
      </c>
      <c r="H220" s="95">
        <f t="shared" si="3"/>
        <v>100</v>
      </c>
    </row>
    <row r="221" spans="1:8" ht="48" outlineLevel="5">
      <c r="A221" s="54" t="str">
        <f>'Приложение 3'!A227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21" s="93" t="str">
        <f>'Приложение 3'!C227</f>
        <v>0709</v>
      </c>
      <c r="C221" s="93" t="str">
        <f>'Приложение 3'!D227</f>
        <v>58</v>
      </c>
      <c r="D221" s="93">
        <f>'Приложение 3'!E227</f>
        <v>0</v>
      </c>
      <c r="E221" s="93"/>
      <c r="F221" s="76">
        <f>'Приложение 3'!G227</f>
        <v>1377.08448</v>
      </c>
      <c r="G221" s="76">
        <f>'Приложение 3'!H227</f>
        <v>1377.08448</v>
      </c>
      <c r="H221" s="95">
        <f t="shared" si="3"/>
        <v>100</v>
      </c>
    </row>
    <row r="222" spans="1:8" ht="48" outlineLevel="2">
      <c r="A222" s="54" t="str">
        <f>'Приложение 3'!A228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2" s="93" t="str">
        <f>'Приложение 3'!C228</f>
        <v>0709</v>
      </c>
      <c r="C222" s="93" t="str">
        <f>'Приложение 3'!D228</f>
        <v>58</v>
      </c>
      <c r="D222" s="93">
        <f>'Приложение 3'!E228</f>
        <v>0</v>
      </c>
      <c r="E222" s="93">
        <f>'Приложение 3'!F228</f>
        <v>100</v>
      </c>
      <c r="F222" s="76">
        <f>'Приложение 3'!G228</f>
        <v>1323.08448</v>
      </c>
      <c r="G222" s="76">
        <f>'Приложение 3'!H228</f>
        <v>1323.08448</v>
      </c>
      <c r="H222" s="95">
        <f t="shared" si="3"/>
        <v>100</v>
      </c>
    </row>
    <row r="223" spans="1:8" ht="24" outlineLevel="3">
      <c r="A223" s="54" t="str">
        <f>'Приложение 3'!A229</f>
        <v>Закупка товаров, работ и услуг для государственных (муниципальных) нужд</v>
      </c>
      <c r="B223" s="93" t="str">
        <f>'Приложение 3'!C229</f>
        <v>0709</v>
      </c>
      <c r="C223" s="93" t="str">
        <f>'Приложение 3'!D229</f>
        <v>58</v>
      </c>
      <c r="D223" s="93">
        <f>'Приложение 3'!E229</f>
        <v>0</v>
      </c>
      <c r="E223" s="93">
        <f>'Приложение 3'!F229</f>
        <v>200</v>
      </c>
      <c r="F223" s="76">
        <f>'Приложение 3'!G229</f>
        <v>54</v>
      </c>
      <c r="G223" s="76">
        <f>'Приложение 3'!H229</f>
        <v>54</v>
      </c>
      <c r="H223" s="95">
        <f t="shared" si="3"/>
        <v>100</v>
      </c>
    </row>
    <row r="224" spans="1:8" ht="12.75" outlineLevel="3">
      <c r="A224" s="54" t="str">
        <f>'Приложение 3'!A230</f>
        <v>Иные бюджетные ассигнования</v>
      </c>
      <c r="B224" s="93" t="str">
        <f>'Приложение 3'!C230</f>
        <v>0709</v>
      </c>
      <c r="C224" s="93" t="str">
        <f>'Приложение 3'!D230</f>
        <v>58</v>
      </c>
      <c r="D224" s="93">
        <f>'Приложение 3'!E230</f>
        <v>0</v>
      </c>
      <c r="E224" s="93">
        <f>'Приложение 3'!F230</f>
        <v>800</v>
      </c>
      <c r="F224" s="76">
        <f>'Приложение 3'!G230</f>
        <v>0</v>
      </c>
      <c r="G224" s="76">
        <f>'Приложение 3'!H230</f>
        <v>0</v>
      </c>
      <c r="H224" s="95">
        <v>0</v>
      </c>
    </row>
    <row r="225" spans="1:8" ht="15" customHeight="1" outlineLevel="3">
      <c r="A225" s="54" t="str">
        <f>'Приложение 3'!A231</f>
        <v>Культура, кинематография </v>
      </c>
      <c r="B225" s="93" t="str">
        <f>'Приложение 3'!C231</f>
        <v>0800</v>
      </c>
      <c r="C225" s="93"/>
      <c r="D225" s="93"/>
      <c r="E225" s="93"/>
      <c r="F225" s="76">
        <f>'Приложение 3'!G231</f>
        <v>16537.8</v>
      </c>
      <c r="G225" s="76">
        <f>'Приложение 3'!H231</f>
        <v>16464.506729999997</v>
      </c>
      <c r="H225" s="95">
        <f t="shared" si="3"/>
        <v>99.5568136632442</v>
      </c>
    </row>
    <row r="226" spans="1:8" ht="10.5" customHeight="1" outlineLevel="3">
      <c r="A226" s="54" t="str">
        <f>'Приложение 3'!A232</f>
        <v>Культура</v>
      </c>
      <c r="B226" s="93" t="str">
        <f>'Приложение 3'!C232</f>
        <v>0801</v>
      </c>
      <c r="C226" s="93"/>
      <c r="D226" s="93"/>
      <c r="E226" s="93"/>
      <c r="F226" s="76">
        <f>'Приложение 3'!G232</f>
        <v>14809.15375</v>
      </c>
      <c r="G226" s="76">
        <f>'Приложение 3'!H232</f>
        <v>14735.860479999998</v>
      </c>
      <c r="H226" s="95">
        <f t="shared" si="3"/>
        <v>99.50508130824151</v>
      </c>
    </row>
    <row r="227" spans="1:8" ht="36" outlineLevel="3">
      <c r="A227" s="54" t="str">
        <f>'Приложение 3'!A233</f>
        <v>Муниципальная программа "Инвестиционная программа по жилищно-коммунальному хозяйству Алексеевского муниципального района на 2019-2023 годы"</v>
      </c>
      <c r="B227" s="93" t="str">
        <f>'Приложение 3'!C233</f>
        <v>0801</v>
      </c>
      <c r="C227" s="93" t="str">
        <f>'Приложение 3'!D233</f>
        <v>02</v>
      </c>
      <c r="D227" s="93">
        <f>'Приложение 3'!E233</f>
        <v>0</v>
      </c>
      <c r="E227" s="93"/>
      <c r="F227" s="76">
        <f>'Приложение 3'!G233</f>
        <v>616.47</v>
      </c>
      <c r="G227" s="76">
        <f>'Приложение 3'!H233</f>
        <v>616.47</v>
      </c>
      <c r="H227" s="95">
        <f t="shared" si="3"/>
        <v>100</v>
      </c>
    </row>
    <row r="228" spans="1:8" ht="36" outlineLevel="3">
      <c r="A228" s="54" t="str">
        <f>'Приложение 3'!A234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8" s="93" t="str">
        <f>'Приложение 3'!C234</f>
        <v>0801</v>
      </c>
      <c r="C228" s="93" t="str">
        <f>'Приложение 3'!D234</f>
        <v>02</v>
      </c>
      <c r="D228" s="93">
        <f>'Приложение 3'!E234</f>
        <v>3</v>
      </c>
      <c r="E228" s="93"/>
      <c r="F228" s="76">
        <f>'Приложение 3'!G234</f>
        <v>498.46999999999997</v>
      </c>
      <c r="G228" s="76">
        <f>'Приложение 3'!H234</f>
        <v>498.46999999999997</v>
      </c>
      <c r="H228" s="95">
        <f t="shared" si="3"/>
        <v>100</v>
      </c>
    </row>
    <row r="229" spans="1:8" ht="24" outlineLevel="3">
      <c r="A229" s="54" t="str">
        <f>'Приложение 3'!A235</f>
        <v>Предоставление субсидий бюджетным, автономным учреждениям и иным некоммерческим организациям</v>
      </c>
      <c r="B229" s="93" t="str">
        <f>'Приложение 3'!C235</f>
        <v>0801</v>
      </c>
      <c r="C229" s="93" t="str">
        <f>'Приложение 3'!D235</f>
        <v>02</v>
      </c>
      <c r="D229" s="93">
        <f>'Приложение 3'!E235</f>
        <v>3</v>
      </c>
      <c r="E229" s="93">
        <f>'Приложение 3'!F235</f>
        <v>600</v>
      </c>
      <c r="F229" s="76">
        <f>'Приложение 3'!G235</f>
        <v>498.46999999999997</v>
      </c>
      <c r="G229" s="76">
        <f>'Приложение 3'!H235</f>
        <v>498.46999999999997</v>
      </c>
      <c r="H229" s="95">
        <f t="shared" si="3"/>
        <v>100</v>
      </c>
    </row>
    <row r="230" spans="1:8" ht="36" outlineLevel="3">
      <c r="A230" s="54" t="str">
        <f>'Приложение 3'!A236</f>
        <v>Подпрограмма "Энергосбережение и повышение энергетической эффективности Алексеевского муниципального района"</v>
      </c>
      <c r="B230" s="93" t="str">
        <f>'Приложение 3'!C236</f>
        <v>0801</v>
      </c>
      <c r="C230" s="93" t="str">
        <f>'Приложение 3'!D236</f>
        <v>02</v>
      </c>
      <c r="D230" s="93">
        <f>'Приложение 3'!E236</f>
        <v>4</v>
      </c>
      <c r="E230" s="93"/>
      <c r="F230" s="76">
        <f>'Приложение 3'!G236</f>
        <v>118</v>
      </c>
      <c r="G230" s="76">
        <f>'Приложение 3'!H236</f>
        <v>118</v>
      </c>
      <c r="H230" s="95">
        <f t="shared" si="3"/>
        <v>100</v>
      </c>
    </row>
    <row r="231" spans="1:8" ht="23.25" customHeight="1" outlineLevel="3">
      <c r="A231" s="54" t="str">
        <f>'Приложение 3'!A237</f>
        <v>Предоставление субсидий бюджетным, автономным учреждениям и иным некоммерческим организациям</v>
      </c>
      <c r="B231" s="93" t="str">
        <f>'Приложение 3'!C237</f>
        <v>0801</v>
      </c>
      <c r="C231" s="93" t="str">
        <f>'Приложение 3'!D237</f>
        <v>02</v>
      </c>
      <c r="D231" s="93">
        <f>'Приложение 3'!E237</f>
        <v>4</v>
      </c>
      <c r="E231" s="93">
        <f>'Приложение 3'!F237</f>
        <v>600</v>
      </c>
      <c r="F231" s="76">
        <f>'Приложение 3'!G237</f>
        <v>118</v>
      </c>
      <c r="G231" s="76">
        <f>'Приложение 3'!H237</f>
        <v>118</v>
      </c>
      <c r="H231" s="95">
        <f t="shared" si="3"/>
        <v>100</v>
      </c>
    </row>
    <row r="232" spans="1:8" ht="24" hidden="1" outlineLevel="3">
      <c r="A232" s="54" t="str">
        <f>'Приложение 3'!A238</f>
        <v>Муниципальная программа "Развитие культуры и искусства в Алексеевском муниципальном районе на 2017-2019 годы"</v>
      </c>
      <c r="B232" s="93" t="str">
        <f>'Приложение 3'!C238</f>
        <v>0801</v>
      </c>
      <c r="C232" s="93" t="str">
        <f>'Приложение 3'!D238</f>
        <v>06</v>
      </c>
      <c r="D232" s="93">
        <f>'Приложение 3'!E238</f>
        <v>0</v>
      </c>
      <c r="E232" s="93"/>
      <c r="F232" s="76">
        <f>'Приложение 3'!G238</f>
        <v>0</v>
      </c>
      <c r="G232" s="76">
        <f>'Приложение 3'!H238</f>
        <v>0</v>
      </c>
      <c r="H232" s="95" t="e">
        <f t="shared" si="3"/>
        <v>#DIV/0!</v>
      </c>
    </row>
    <row r="233" spans="1:8" ht="24" hidden="1" outlineLevel="3">
      <c r="A233" s="54" t="str">
        <f>'Приложение 3'!A239</f>
        <v>Предоставление субсидий бюджетным, автономным учреждениям и иным некоммерческим организациям</v>
      </c>
      <c r="B233" s="93" t="str">
        <f>'Приложение 3'!C239</f>
        <v>0801</v>
      </c>
      <c r="C233" s="93" t="str">
        <f>'Приложение 3'!D239</f>
        <v>06</v>
      </c>
      <c r="D233" s="93">
        <f>'Приложение 3'!E239</f>
        <v>0</v>
      </c>
      <c r="E233" s="93">
        <f>'Приложение 3'!F239</f>
        <v>600</v>
      </c>
      <c r="F233" s="76">
        <f>'Приложение 3'!G239</f>
        <v>0</v>
      </c>
      <c r="G233" s="76">
        <f>'Приложение 3'!H239</f>
        <v>0</v>
      </c>
      <c r="H233" s="95" t="e">
        <f t="shared" si="3"/>
        <v>#DIV/0!</v>
      </c>
    </row>
    <row r="234" spans="1:8" ht="36" hidden="1" outlineLevel="3">
      <c r="A234" s="54" t="str">
        <f>'Приложение 3'!A241</f>
        <v>Предоставление субсидий бюджетным, автономным учреждениям и иным некоммерческим организациям за счет средств областного бюджета</v>
      </c>
      <c r="B234" s="93" t="str">
        <f>'Приложение 3'!C241</f>
        <v>0801</v>
      </c>
      <c r="C234" s="93" t="str">
        <f>'Приложение 3'!D241</f>
        <v>06</v>
      </c>
      <c r="D234" s="93">
        <f>'Приложение 3'!E241</f>
        <v>0</v>
      </c>
      <c r="E234" s="93">
        <f>'Приложение 3'!F241</f>
        <v>600</v>
      </c>
      <c r="F234" s="76">
        <f>'Приложение 3'!G241</f>
        <v>0</v>
      </c>
      <c r="G234" s="76">
        <f>'Приложение 3'!H241</f>
        <v>0</v>
      </c>
      <c r="H234" s="95" t="e">
        <f t="shared" si="3"/>
        <v>#DIV/0!</v>
      </c>
    </row>
    <row r="235" spans="1:8" ht="12.75" hidden="1" outlineLevel="3">
      <c r="A235" s="54" t="str">
        <f>'Приложение 3'!A242</f>
        <v>Межбюджетные трансферты</v>
      </c>
      <c r="B235" s="93" t="str">
        <f>'Приложение 3'!C242</f>
        <v>0801</v>
      </c>
      <c r="C235" s="93" t="str">
        <f>'Приложение 3'!D242</f>
        <v>06</v>
      </c>
      <c r="D235" s="93">
        <f>'Приложение 3'!E242</f>
        <v>0</v>
      </c>
      <c r="E235" s="93">
        <f>'Приложение 3'!F242</f>
        <v>500</v>
      </c>
      <c r="F235" s="76">
        <f>'Приложение 3'!G242</f>
        <v>0</v>
      </c>
      <c r="G235" s="76">
        <f>'Приложение 3'!H242</f>
        <v>0</v>
      </c>
      <c r="H235" s="95" t="e">
        <f t="shared" si="3"/>
        <v>#DIV/0!</v>
      </c>
    </row>
    <row r="236" spans="1:8" ht="35.25" customHeight="1" outlineLevel="3">
      <c r="A236" s="54" t="str">
        <f>'Приложение 3'!A243</f>
        <v>Муниципальная программа "Развитие народных художественных промыслов Алексеевского муниципального района на 2019-2023 годы"</v>
      </c>
      <c r="B236" s="93" t="str">
        <f>'Приложение 3'!C243</f>
        <v>0801</v>
      </c>
      <c r="C236" s="93" t="str">
        <f>'Приложение 3'!D243</f>
        <v>12</v>
      </c>
      <c r="D236" s="93">
        <f>'Приложение 3'!E243</f>
        <v>0</v>
      </c>
      <c r="E236" s="93"/>
      <c r="F236" s="76">
        <f>'Приложение 3'!G243</f>
        <v>50</v>
      </c>
      <c r="G236" s="76">
        <f>'Приложение 3'!H243</f>
        <v>50</v>
      </c>
      <c r="H236" s="95">
        <f t="shared" si="3"/>
        <v>100</v>
      </c>
    </row>
    <row r="237" spans="1:8" ht="27" customHeight="1" outlineLevel="3">
      <c r="A237" s="54" t="str">
        <f>'Приложение 3'!A244</f>
        <v>Предоставление субсидий бюджетным, автономным учреждениям и иным некоммерческим организациям</v>
      </c>
      <c r="B237" s="93" t="str">
        <f>'Приложение 3'!C244</f>
        <v>0801</v>
      </c>
      <c r="C237" s="93" t="str">
        <f>'Приложение 3'!D244</f>
        <v>12</v>
      </c>
      <c r="D237" s="93">
        <f>'Приложение 3'!E244</f>
        <v>0</v>
      </c>
      <c r="E237" s="93">
        <f>'Приложение 3'!F244</f>
        <v>600</v>
      </c>
      <c r="F237" s="76">
        <f>'Приложение 3'!G244</f>
        <v>50</v>
      </c>
      <c r="G237" s="76">
        <f>'Приложение 3'!H244</f>
        <v>50</v>
      </c>
      <c r="H237" s="95">
        <f t="shared" si="3"/>
        <v>100</v>
      </c>
    </row>
    <row r="238" spans="1:8" ht="38.25" customHeight="1" outlineLevel="3">
      <c r="A238" s="54" t="str">
        <f>'Приложение 3'!A245</f>
        <v>Муниципальная программа "О поддержке деятельности казачьих обществ Алексеевского муниципального района на 2019-2023 годы"</v>
      </c>
      <c r="B238" s="93" t="str">
        <f>'Приложение 3'!C245</f>
        <v>0801</v>
      </c>
      <c r="C238" s="93" t="str">
        <f>'Приложение 3'!D245</f>
        <v>13</v>
      </c>
      <c r="D238" s="93">
        <f>'Приложение 3'!E245</f>
        <v>0</v>
      </c>
      <c r="E238" s="93"/>
      <c r="F238" s="76">
        <f>'Приложение 3'!G245</f>
        <v>100</v>
      </c>
      <c r="G238" s="76">
        <f>'Приложение 3'!H245</f>
        <v>100</v>
      </c>
      <c r="H238" s="95">
        <f t="shared" si="3"/>
        <v>100</v>
      </c>
    </row>
    <row r="239" spans="1:8" ht="26.25" customHeight="1" outlineLevel="3">
      <c r="A239" s="54" t="str">
        <f>'Приложение 3'!A246</f>
        <v>Предоставление субсидий бюджетным, автономным учреждениям и иным некоммерческим организациям</v>
      </c>
      <c r="B239" s="93" t="str">
        <f>'Приложение 3'!C246</f>
        <v>0801</v>
      </c>
      <c r="C239" s="93" t="str">
        <f>'Приложение 3'!D246</f>
        <v>13</v>
      </c>
      <c r="D239" s="93">
        <f>'Приложение 3'!E246</f>
        <v>0</v>
      </c>
      <c r="E239" s="93">
        <f>'Приложение 3'!F246</f>
        <v>600</v>
      </c>
      <c r="F239" s="76">
        <f>'Приложение 3'!G246</f>
        <v>100</v>
      </c>
      <c r="G239" s="76">
        <f>'Приложение 3'!H246</f>
        <v>100</v>
      </c>
      <c r="H239" s="95">
        <f t="shared" si="3"/>
        <v>100</v>
      </c>
    </row>
    <row r="240" spans="1:8" ht="26.25" customHeight="1" outlineLevel="3">
      <c r="A240" s="54" t="str">
        <f>'Приложение 3'!A247</f>
        <v>Непрограммные расходы органов местного самоуправления Алексеевского муниципального района</v>
      </c>
      <c r="B240" s="93" t="str">
        <f>'Приложение 3'!C247</f>
        <v>0801</v>
      </c>
      <c r="C240" s="93" t="str">
        <f>'Приложение 3'!D247</f>
        <v>99</v>
      </c>
      <c r="D240" s="93">
        <f>'Приложение 3'!E247</f>
        <v>0</v>
      </c>
      <c r="E240" s="93"/>
      <c r="F240" s="76">
        <f>'Приложение 3'!G247</f>
        <v>10</v>
      </c>
      <c r="G240" s="76">
        <f>'Приложение 3'!H247</f>
        <v>10</v>
      </c>
      <c r="H240" s="95">
        <f t="shared" si="3"/>
        <v>100</v>
      </c>
    </row>
    <row r="241" spans="1:8" ht="26.25" customHeight="1" outlineLevel="3">
      <c r="A241" s="54" t="str">
        <f>'Приложение 3'!A248</f>
        <v>Закупка товаров, работ и услуг для государственных (муниципальных) нужд</v>
      </c>
      <c r="B241" s="93" t="str">
        <f>'Приложение 3'!C248</f>
        <v>0801</v>
      </c>
      <c r="C241" s="93" t="str">
        <f>'Приложение 3'!D248</f>
        <v>99</v>
      </c>
      <c r="D241" s="93">
        <f>'Приложение 3'!E248</f>
        <v>0</v>
      </c>
      <c r="E241" s="93">
        <f>'Приложение 3'!F248</f>
        <v>200</v>
      </c>
      <c r="F241" s="76">
        <f>'Приложение 3'!G248</f>
        <v>10</v>
      </c>
      <c r="G241" s="76">
        <f>'Приложение 3'!H248</f>
        <v>10</v>
      </c>
      <c r="H241" s="95">
        <f t="shared" si="3"/>
        <v>100</v>
      </c>
    </row>
    <row r="242" spans="1:8" ht="33.75" customHeight="1" outlineLevel="3">
      <c r="A242" s="54" t="str">
        <f>'Приложение 3'!A249</f>
        <v>Ведомственная целевая программа "Развитие культуры и искусства в Алексеевском муниципальном районе на 2019-2021 годы"</v>
      </c>
      <c r="B242" s="93" t="str">
        <f>'Приложение 3'!C249</f>
        <v>0800</v>
      </c>
      <c r="C242" s="93" t="str">
        <f>'Приложение 3'!D249</f>
        <v>59</v>
      </c>
      <c r="D242" s="93">
        <f>'Приложение 3'!E249</f>
        <v>0</v>
      </c>
      <c r="E242" s="93"/>
      <c r="F242" s="76">
        <f>'Приложение 3'!G249</f>
        <v>15761.33</v>
      </c>
      <c r="G242" s="76">
        <f>'Приложение 3'!H249</f>
        <v>15688.036729999998</v>
      </c>
      <c r="H242" s="95">
        <f t="shared" si="3"/>
        <v>99.53498042360637</v>
      </c>
    </row>
    <row r="243" spans="1:8" ht="15" customHeight="1" outlineLevel="3">
      <c r="A243" s="54" t="str">
        <f>'Приложение 3'!A250</f>
        <v>Дворцы и дома культуры, другие учреждения культуры</v>
      </c>
      <c r="B243" s="93" t="str">
        <f>'Приложение 3'!C250</f>
        <v>0801</v>
      </c>
      <c r="C243" s="93" t="str">
        <f>'Приложение 3'!D250</f>
        <v>59</v>
      </c>
      <c r="D243" s="93">
        <f>'Приложение 3'!E250</f>
        <v>0</v>
      </c>
      <c r="E243" s="93"/>
      <c r="F243" s="76">
        <f>'Приложение 3'!G250</f>
        <v>11311.880070000001</v>
      </c>
      <c r="G243" s="76">
        <f>'Приложение 3'!H250</f>
        <v>11238.5868</v>
      </c>
      <c r="H243" s="95">
        <f t="shared" si="3"/>
        <v>99.3520681836578</v>
      </c>
    </row>
    <row r="244" spans="1:8" ht="21.75" customHeight="1" outlineLevel="1">
      <c r="A244" s="54" t="str">
        <f>'Приложение 3'!A251</f>
        <v>Предоставление субсидий бюджетным, автономным учреждениям и иным некоммерческим организациям</v>
      </c>
      <c r="B244" s="93" t="str">
        <f>'Приложение 3'!C251</f>
        <v>0801</v>
      </c>
      <c r="C244" s="93" t="str">
        <f>'Приложение 3'!D251</f>
        <v>59</v>
      </c>
      <c r="D244" s="93">
        <f>'Приложение 3'!E251</f>
        <v>0</v>
      </c>
      <c r="E244" s="93">
        <f>'Приложение 3'!F251</f>
        <v>600</v>
      </c>
      <c r="F244" s="76">
        <f>'Приложение 3'!G251</f>
        <v>11311.880070000001</v>
      </c>
      <c r="G244" s="76">
        <f>'Приложение 3'!H251</f>
        <v>11238.5868</v>
      </c>
      <c r="H244" s="95">
        <f t="shared" si="3"/>
        <v>99.3520681836578</v>
      </c>
    </row>
    <row r="245" spans="1:8" ht="16.5" customHeight="1" outlineLevel="3">
      <c r="A245" s="54" t="str">
        <f>'Приложение 3'!A252</f>
        <v>Музей</v>
      </c>
      <c r="B245" s="93" t="str">
        <f>'Приложение 3'!C252</f>
        <v>0801</v>
      </c>
      <c r="C245" s="93" t="str">
        <f>'Приложение 3'!D252</f>
        <v>59</v>
      </c>
      <c r="D245" s="93">
        <f>'Приложение 3'!E252</f>
        <v>0</v>
      </c>
      <c r="E245" s="93"/>
      <c r="F245" s="76">
        <f>'Приложение 3'!G252</f>
        <v>1388.45926</v>
      </c>
      <c r="G245" s="76">
        <f>'Приложение 3'!H252</f>
        <v>1388.45926</v>
      </c>
      <c r="H245" s="95">
        <f t="shared" si="3"/>
        <v>100</v>
      </c>
    </row>
    <row r="246" spans="1:8" ht="24" customHeight="1" outlineLevel="3">
      <c r="A246" s="54" t="str">
        <f>'Приложение 3'!A253</f>
        <v>Предоставление субсидий бюджетным, автономным учреждениям и иным некоммерческим организациям</v>
      </c>
      <c r="B246" s="93" t="str">
        <f>'Приложение 3'!C253</f>
        <v>0801</v>
      </c>
      <c r="C246" s="93" t="str">
        <f>'Приложение 3'!D253</f>
        <v>59</v>
      </c>
      <c r="D246" s="93">
        <f>'Приложение 3'!E253</f>
        <v>0</v>
      </c>
      <c r="E246" s="93">
        <f>'Приложение 3'!F253</f>
        <v>600</v>
      </c>
      <c r="F246" s="76">
        <f>'Приложение 3'!G253</f>
        <v>1388.45926</v>
      </c>
      <c r="G246" s="76">
        <f>'Приложение 3'!H253</f>
        <v>1388.45926</v>
      </c>
      <c r="H246" s="95">
        <f t="shared" si="3"/>
        <v>100</v>
      </c>
    </row>
    <row r="247" spans="1:8" ht="14.25" customHeight="1" outlineLevel="3">
      <c r="A247" s="54" t="str">
        <f>'Приложение 3'!A254</f>
        <v>Библиотеки</v>
      </c>
      <c r="B247" s="93" t="str">
        <f>'Приложение 3'!C254</f>
        <v>0801</v>
      </c>
      <c r="C247" s="93" t="str">
        <f>'Приложение 3'!D254</f>
        <v>59</v>
      </c>
      <c r="D247" s="93">
        <f>'Приложение 3'!E254</f>
        <v>0</v>
      </c>
      <c r="E247" s="93"/>
      <c r="F247" s="76">
        <f>'Приложение 3'!G254</f>
        <v>1332.34442</v>
      </c>
      <c r="G247" s="76">
        <f>'Приложение 3'!H254</f>
        <v>1332.34442</v>
      </c>
      <c r="H247" s="95">
        <f t="shared" si="3"/>
        <v>100</v>
      </c>
    </row>
    <row r="248" spans="1:8" ht="31.5" customHeight="1" outlineLevel="3">
      <c r="A248" s="54" t="str">
        <f>'Приложение 3'!A255</f>
        <v>Предоставление субсидий бюджетным, автономным учреждениям и иным некоммерческим организациям</v>
      </c>
      <c r="B248" s="93" t="str">
        <f>'Приложение 3'!C255</f>
        <v>0801</v>
      </c>
      <c r="C248" s="93" t="str">
        <f>'Приложение 3'!D255</f>
        <v>59</v>
      </c>
      <c r="D248" s="93">
        <f>'Приложение 3'!E255</f>
        <v>0</v>
      </c>
      <c r="E248" s="93">
        <f>'Приложение 3'!F255</f>
        <v>600</v>
      </c>
      <c r="F248" s="76">
        <f>'Приложение 3'!G255</f>
        <v>1332.34442</v>
      </c>
      <c r="G248" s="76">
        <f>'Приложение 3'!H255</f>
        <v>1332.34442</v>
      </c>
      <c r="H248" s="95">
        <f t="shared" si="3"/>
        <v>100</v>
      </c>
    </row>
    <row r="249" spans="1:8" ht="16.5" customHeight="1" outlineLevel="3">
      <c r="A249" s="54" t="str">
        <f>'Приложение 3'!A256</f>
        <v>Кинематография</v>
      </c>
      <c r="B249" s="93" t="str">
        <f>'Приложение 3'!C256</f>
        <v>0802</v>
      </c>
      <c r="C249" s="93" t="str">
        <f>'Приложение 3'!D256</f>
        <v>59</v>
      </c>
      <c r="D249" s="93">
        <f>'Приложение 3'!E256</f>
        <v>0</v>
      </c>
      <c r="E249" s="93"/>
      <c r="F249" s="76">
        <f>'Приложение 3'!G256</f>
        <v>261.07547</v>
      </c>
      <c r="G249" s="76">
        <f>'Приложение 3'!H256</f>
        <v>261.07547</v>
      </c>
      <c r="H249" s="95">
        <f t="shared" si="3"/>
        <v>100</v>
      </c>
    </row>
    <row r="250" spans="1:8" ht="27" customHeight="1" outlineLevel="1">
      <c r="A250" s="54" t="str">
        <f>'Приложение 3'!A257</f>
        <v>Предоставление субсидий бюджетным, автономным учреждениям и иным некоммерческим организациям</v>
      </c>
      <c r="B250" s="93" t="str">
        <f>'Приложение 3'!C257</f>
        <v>0802</v>
      </c>
      <c r="C250" s="93" t="str">
        <f>'Приложение 3'!D257</f>
        <v>59</v>
      </c>
      <c r="D250" s="93">
        <f>'Приложение 3'!E257</f>
        <v>0</v>
      </c>
      <c r="E250" s="93">
        <f>'Приложение 3'!F257</f>
        <v>600</v>
      </c>
      <c r="F250" s="76">
        <f>'Приложение 3'!G257</f>
        <v>261.07547</v>
      </c>
      <c r="G250" s="76">
        <f>'Приложение 3'!H257</f>
        <v>261.07547</v>
      </c>
      <c r="H250" s="95">
        <f t="shared" si="3"/>
        <v>100</v>
      </c>
    </row>
    <row r="251" spans="1:8" ht="12" customHeight="1" outlineLevel="3">
      <c r="A251" s="54" t="str">
        <f>'Приложение 3'!A258</f>
        <v>Другие вопросы в области культуры, кинематографии </v>
      </c>
      <c r="B251" s="93" t="str">
        <f>'Приложение 3'!C258</f>
        <v>0804</v>
      </c>
      <c r="C251" s="93" t="str">
        <f>'Приложение 3'!D258</f>
        <v>59</v>
      </c>
      <c r="D251" s="93">
        <f>'Приложение 3'!E258</f>
        <v>0</v>
      </c>
      <c r="E251" s="93"/>
      <c r="F251" s="76">
        <f>'Приложение 3'!G258</f>
        <v>1467.57078</v>
      </c>
      <c r="G251" s="76">
        <f>'Приложение 3'!H258</f>
        <v>1467.57078</v>
      </c>
      <c r="H251" s="95">
        <f t="shared" si="3"/>
        <v>100</v>
      </c>
    </row>
    <row r="252" spans="1:8" ht="26.25" customHeight="1" outlineLevel="3">
      <c r="A252" s="54" t="str">
        <f>'Приложение 3'!A259</f>
        <v>Предоставление субсидий бюджетным, автономным учреждениям и иным некоммерческим организациям</v>
      </c>
      <c r="B252" s="93" t="str">
        <f>'Приложение 3'!C259</f>
        <v>0804</v>
      </c>
      <c r="C252" s="93" t="str">
        <f>'Приложение 3'!D259</f>
        <v>59</v>
      </c>
      <c r="D252" s="93">
        <f>'Приложение 3'!E259</f>
        <v>0</v>
      </c>
      <c r="E252" s="93">
        <f>'Приложение 3'!F259</f>
        <v>600</v>
      </c>
      <c r="F252" s="76">
        <f>'Приложение 3'!G259</f>
        <v>1467.57078</v>
      </c>
      <c r="G252" s="76">
        <f>'Приложение 3'!H259</f>
        <v>1467.57078</v>
      </c>
      <c r="H252" s="95">
        <f t="shared" si="3"/>
        <v>100</v>
      </c>
    </row>
    <row r="253" spans="1:8" ht="12.75" outlineLevel="3">
      <c r="A253" s="54" t="str">
        <f>'Приложение 3'!A260</f>
        <v>Здравоохранение</v>
      </c>
      <c r="B253" s="93" t="str">
        <f>'Приложение 3'!C260</f>
        <v>0900</v>
      </c>
      <c r="C253" s="93"/>
      <c r="D253" s="93"/>
      <c r="E253" s="93"/>
      <c r="F253" s="76">
        <f>'Приложение 3'!G260</f>
        <v>29.06601999999998</v>
      </c>
      <c r="G253" s="76">
        <f>'Приложение 3'!H260</f>
        <v>29.06601999999998</v>
      </c>
      <c r="H253" s="95">
        <f t="shared" si="3"/>
        <v>100</v>
      </c>
    </row>
    <row r="254" spans="1:8" ht="12.75" outlineLevel="3">
      <c r="A254" s="54" t="str">
        <f>'Приложение 3'!A261</f>
        <v>Амбулаторная помощь</v>
      </c>
      <c r="B254" s="93" t="str">
        <f>'Приложение 3'!C261</f>
        <v>0902</v>
      </c>
      <c r="C254" s="93"/>
      <c r="D254" s="93"/>
      <c r="E254" s="93"/>
      <c r="F254" s="76">
        <f>'Приложение 3'!G261</f>
        <v>29.06601999999998</v>
      </c>
      <c r="G254" s="76">
        <f>'Приложение 3'!H261</f>
        <v>29.06601999999998</v>
      </c>
      <c r="H254" s="95">
        <f t="shared" si="3"/>
        <v>100</v>
      </c>
    </row>
    <row r="255" spans="1:8" ht="36" outlineLevel="3">
      <c r="A255" s="54" t="str">
        <f>'Приложение 3'!A262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55" s="93" t="str">
        <f>'Приложение 3'!C262</f>
        <v>0902</v>
      </c>
      <c r="C255" s="93" t="str">
        <f>'Приложение 3'!D262</f>
        <v>02</v>
      </c>
      <c r="D255" s="93">
        <f>'Приложение 3'!E262</f>
        <v>0</v>
      </c>
      <c r="E255" s="93"/>
      <c r="F255" s="76">
        <f>'Приложение 3'!G262</f>
        <v>29.06601999999998</v>
      </c>
      <c r="G255" s="76">
        <f>'Приложение 3'!H262</f>
        <v>29.06601999999998</v>
      </c>
      <c r="H255" s="95">
        <f t="shared" si="3"/>
        <v>100</v>
      </c>
    </row>
    <row r="256" spans="1:8" ht="36" outlineLevel="3">
      <c r="A256" s="54" t="str">
        <f>'Приложение 3'!A263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56" s="93" t="str">
        <f>'Приложение 3'!C263</f>
        <v>0902</v>
      </c>
      <c r="C256" s="93" t="str">
        <f>'Приложение 3'!D263</f>
        <v>02</v>
      </c>
      <c r="D256" s="93">
        <f>'Приложение 3'!E263</f>
        <v>3</v>
      </c>
      <c r="E256" s="93"/>
      <c r="F256" s="76">
        <f>'Приложение 3'!G263</f>
        <v>29.06601999999998</v>
      </c>
      <c r="G256" s="76">
        <f>'Приложение 3'!H263</f>
        <v>29.06601999999998</v>
      </c>
      <c r="H256" s="95">
        <f t="shared" si="3"/>
        <v>100</v>
      </c>
    </row>
    <row r="257" spans="1:8" ht="24" outlineLevel="3">
      <c r="A257" s="54" t="str">
        <f>'Приложение 3'!A264</f>
        <v>Капитальные вложения в объекты государственной (муниципальной) собственности</v>
      </c>
      <c r="B257" s="93" t="str">
        <f>'Приложение 3'!C264</f>
        <v>0902</v>
      </c>
      <c r="C257" s="93" t="str">
        <f>'Приложение 3'!D264</f>
        <v>02</v>
      </c>
      <c r="D257" s="93">
        <f>'Приложение 3'!E264</f>
        <v>3</v>
      </c>
      <c r="E257" s="93">
        <f>'Приложение 3'!F264</f>
        <v>400</v>
      </c>
      <c r="F257" s="76">
        <f>'Приложение 3'!G264</f>
        <v>29.06601999999998</v>
      </c>
      <c r="G257" s="76">
        <f>'Приложение 3'!H264</f>
        <v>29.06601999999998</v>
      </c>
      <c r="H257" s="95">
        <f t="shared" si="3"/>
        <v>100</v>
      </c>
    </row>
    <row r="258" spans="1:8" ht="16.5" customHeight="1">
      <c r="A258" s="54" t="str">
        <f>'Приложение 3'!A265</f>
        <v>Социальная политика</v>
      </c>
      <c r="B258" s="93" t="str">
        <f>'Приложение 3'!C265</f>
        <v>1000</v>
      </c>
      <c r="C258" s="93"/>
      <c r="D258" s="93"/>
      <c r="E258" s="93"/>
      <c r="F258" s="76">
        <f>'Приложение 3'!G265</f>
        <v>27131.208210000004</v>
      </c>
      <c r="G258" s="76">
        <f>'Приложение 3'!H265</f>
        <v>25413.197669999998</v>
      </c>
      <c r="H258" s="95">
        <f t="shared" si="3"/>
        <v>93.66776987334171</v>
      </c>
    </row>
    <row r="259" spans="1:8" s="16" customFormat="1" ht="27.75" customHeight="1" outlineLevel="2">
      <c r="A259" s="54" t="str">
        <f>'Приложение 3'!A266</f>
        <v>Доплаты к пенсии государственных служащих субъектов Российской Федерации и муниципальных служащих</v>
      </c>
      <c r="B259" s="93" t="str">
        <f>'Приложение 3'!C266</f>
        <v>1001</v>
      </c>
      <c r="C259" s="93"/>
      <c r="D259" s="93"/>
      <c r="E259" s="93"/>
      <c r="F259" s="76">
        <f>'Приложение 3'!G266</f>
        <v>3940.23421</v>
      </c>
      <c r="G259" s="76">
        <f>'Приложение 3'!H266</f>
        <v>3940.23421</v>
      </c>
      <c r="H259" s="95">
        <f t="shared" si="3"/>
        <v>100</v>
      </c>
    </row>
    <row r="260" spans="1:8" s="16" customFormat="1" ht="30" customHeight="1" outlineLevel="2">
      <c r="A260" s="54" t="str">
        <f>'Приложение 3'!A267</f>
        <v>Непрограммные расходы органов местного самоуправления Алексеевского муниципального района</v>
      </c>
      <c r="B260" s="93" t="str">
        <f>'Приложение 3'!C267</f>
        <v>1001</v>
      </c>
      <c r="C260" s="93" t="str">
        <f>'Приложение 3'!D267</f>
        <v>99</v>
      </c>
      <c r="D260" s="93">
        <f>'Приложение 3'!E267</f>
        <v>0</v>
      </c>
      <c r="E260" s="93"/>
      <c r="F260" s="76">
        <f>'Приложение 3'!G267</f>
        <v>3940.23421</v>
      </c>
      <c r="G260" s="76">
        <f>'Приложение 3'!H267</f>
        <v>3940.23421</v>
      </c>
      <c r="H260" s="95">
        <f t="shared" si="3"/>
        <v>100</v>
      </c>
    </row>
    <row r="261" spans="1:8" s="16" customFormat="1" ht="15.75" customHeight="1" outlineLevel="2">
      <c r="A261" s="54" t="str">
        <f>'Приложение 3'!A268</f>
        <v>Социальное обеспечение и иные выплаты населению</v>
      </c>
      <c r="B261" s="93" t="str">
        <f>'Приложение 3'!C268</f>
        <v>1001</v>
      </c>
      <c r="C261" s="93" t="str">
        <f>'Приложение 3'!D268</f>
        <v>99</v>
      </c>
      <c r="D261" s="93">
        <f>'Приложение 3'!E268</f>
        <v>0</v>
      </c>
      <c r="E261" s="93">
        <f>'Приложение 3'!F268</f>
        <v>300</v>
      </c>
      <c r="F261" s="76">
        <f>'Приложение 3'!G268</f>
        <v>3940.23421</v>
      </c>
      <c r="G261" s="76">
        <f>'Приложение 3'!H268</f>
        <v>3940.23421</v>
      </c>
      <c r="H261" s="95">
        <f t="shared" si="3"/>
        <v>100</v>
      </c>
    </row>
    <row r="262" spans="1:8" ht="15" customHeight="1" outlineLevel="3">
      <c r="A262" s="54" t="str">
        <f>'Приложение 3'!A269</f>
        <v>Социальное обеспечение населения</v>
      </c>
      <c r="B262" s="93" t="str">
        <f>'Приложение 3'!C269</f>
        <v>1003</v>
      </c>
      <c r="C262" s="93"/>
      <c r="D262" s="93"/>
      <c r="E262" s="93"/>
      <c r="F262" s="76">
        <f>'Приложение 3'!G269</f>
        <v>14543.033000000001</v>
      </c>
      <c r="G262" s="76">
        <f>'Приложение 3'!H269</f>
        <v>13571.885409999997</v>
      </c>
      <c r="H262" s="95">
        <f t="shared" si="3"/>
        <v>93.32224859834943</v>
      </c>
    </row>
    <row r="263" spans="1:8" s="16" customFormat="1" ht="72" outlineLevel="2">
      <c r="A263" s="54" t="str">
        <f>'Приложение 3'!A270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63" s="93" t="str">
        <f>'Приложение 3'!C270</f>
        <v>1003</v>
      </c>
      <c r="C263" s="93" t="str">
        <f>'Приложение 3'!D270</f>
        <v>14</v>
      </c>
      <c r="D263" s="93">
        <f>'Приложение 3'!E270</f>
        <v>0</v>
      </c>
      <c r="E263" s="93"/>
      <c r="F263" s="76">
        <f>'Приложение 3'!G270</f>
        <v>564.043</v>
      </c>
      <c r="G263" s="76">
        <f>'Приложение 3'!H270</f>
        <v>564.043</v>
      </c>
      <c r="H263" s="95">
        <f t="shared" si="3"/>
        <v>100</v>
      </c>
    </row>
    <row r="264" spans="1:8" s="16" customFormat="1" ht="14.25" customHeight="1" outlineLevel="2">
      <c r="A264" s="54" t="str">
        <f>'Приложение 3'!A271</f>
        <v>Социальное обеспечение и иные выплаты населению</v>
      </c>
      <c r="B264" s="93" t="str">
        <f>'Приложение 3'!C271</f>
        <v>1003</v>
      </c>
      <c r="C264" s="93" t="str">
        <f>'Приложение 3'!D271</f>
        <v>14</v>
      </c>
      <c r="D264" s="93">
        <f>'Приложение 3'!E271</f>
        <v>0</v>
      </c>
      <c r="E264" s="93">
        <f>'Приложение 3'!F271</f>
        <v>300</v>
      </c>
      <c r="F264" s="76">
        <f>'Приложение 3'!G271</f>
        <v>564.043</v>
      </c>
      <c r="G264" s="76">
        <f>'Приложение 3'!H271</f>
        <v>564.043</v>
      </c>
      <c r="H264" s="95">
        <f t="shared" si="3"/>
        <v>100</v>
      </c>
    </row>
    <row r="265" spans="1:8" s="16" customFormat="1" ht="29.25" customHeight="1" outlineLevel="2">
      <c r="A265" s="54" t="str">
        <f>'Приложение 3'!A272</f>
        <v>Непрограммные расходы органов местного самоуправления Алексеевского муниципального района</v>
      </c>
      <c r="B265" s="93" t="str">
        <f>'Приложение 3'!C272</f>
        <v>1003</v>
      </c>
      <c r="C265" s="93" t="str">
        <f>'Приложение 3'!D272</f>
        <v>99</v>
      </c>
      <c r="D265" s="93">
        <f>'Приложение 3'!E272</f>
        <v>0</v>
      </c>
      <c r="E265" s="93"/>
      <c r="F265" s="76">
        <f>'Приложение 3'!G272</f>
        <v>13978.990000000002</v>
      </c>
      <c r="G265" s="76">
        <f>'Приложение 3'!H272</f>
        <v>13007.842409999997</v>
      </c>
      <c r="H265" s="95">
        <f aca="true" t="shared" si="4" ref="H265:H306">SUM(G265/F265)*100</f>
        <v>93.05280574633787</v>
      </c>
    </row>
    <row r="266" spans="1:8" s="16" customFormat="1" ht="48" outlineLevel="2">
      <c r="A266" s="54" t="str">
        <f>'Приложение 3'!A273</f>
        <v>Решение отдельных вопросов местного значения в связи с необходимостью доведения до сведения жителей муниципальных районов Волгоградской области официальной информации </v>
      </c>
      <c r="B266" s="93" t="str">
        <f>'Приложение 3'!C273</f>
        <v>1003</v>
      </c>
      <c r="C266" s="93" t="str">
        <f>'Приложение 3'!D273</f>
        <v>99</v>
      </c>
      <c r="D266" s="93">
        <f>'Приложение 3'!E273</f>
        <v>0</v>
      </c>
      <c r="E266" s="93"/>
      <c r="F266" s="76">
        <f>'Приложение 3'!G273</f>
        <v>30</v>
      </c>
      <c r="G266" s="76">
        <f>'Приложение 3'!H273</f>
        <v>30</v>
      </c>
      <c r="H266" s="95">
        <f t="shared" si="4"/>
        <v>100</v>
      </c>
    </row>
    <row r="267" spans="1:8" s="16" customFormat="1" ht="18.75" customHeight="1" outlineLevel="2">
      <c r="A267" s="54" t="str">
        <f>'Приложение 3'!A274</f>
        <v>Социальное обеспечение и иные выплаты населению</v>
      </c>
      <c r="B267" s="93" t="str">
        <f>'Приложение 3'!C274</f>
        <v>1003</v>
      </c>
      <c r="C267" s="93" t="str">
        <f>'Приложение 3'!D274</f>
        <v>99</v>
      </c>
      <c r="D267" s="93">
        <f>'Приложение 3'!E274</f>
        <v>0</v>
      </c>
      <c r="E267" s="93" t="s">
        <v>225</v>
      </c>
      <c r="F267" s="76">
        <f>'Приложение 3'!G274</f>
        <v>30</v>
      </c>
      <c r="G267" s="76">
        <f>'Приложение 3'!H274</f>
        <v>30</v>
      </c>
      <c r="H267" s="95">
        <f t="shared" si="4"/>
        <v>100</v>
      </c>
    </row>
    <row r="268" spans="1:8" ht="96" outlineLevel="3">
      <c r="A268" s="54" t="str">
        <f>'Приложение 3'!A275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68" s="93" t="str">
        <f>'Приложение 3'!C275</f>
        <v>1003</v>
      </c>
      <c r="C268" s="93" t="str">
        <f>'Приложение 3'!D275</f>
        <v>99</v>
      </c>
      <c r="D268" s="93">
        <f>'Приложение 3'!E275</f>
        <v>0</v>
      </c>
      <c r="E268" s="93"/>
      <c r="F268" s="76">
        <f>'Приложение 3'!G275</f>
        <v>9814.79</v>
      </c>
      <c r="G268" s="76">
        <f>'Приложение 3'!H275</f>
        <v>9333.75087</v>
      </c>
      <c r="H268" s="95">
        <f t="shared" si="4"/>
        <v>95.09883420837328</v>
      </c>
    </row>
    <row r="269" spans="1:8" ht="14.25" customHeight="1" outlineLevel="1">
      <c r="A269" s="54" t="str">
        <f>'Приложение 3'!A276</f>
        <v>Социальное обеспечение и иные выплаты населению</v>
      </c>
      <c r="B269" s="93" t="str">
        <f>'Приложение 3'!C276</f>
        <v>1003</v>
      </c>
      <c r="C269" s="93" t="str">
        <f>'Приложение 3'!D276</f>
        <v>99</v>
      </c>
      <c r="D269" s="93">
        <f>'Приложение 3'!E276</f>
        <v>0</v>
      </c>
      <c r="E269" s="93">
        <f>'Приложение 3'!F276</f>
        <v>300</v>
      </c>
      <c r="F269" s="76">
        <f>'Приложение 3'!G276</f>
        <v>9706.54787</v>
      </c>
      <c r="G269" s="76">
        <f>'Приложение 3'!H276</f>
        <v>9230.27215</v>
      </c>
      <c r="H269" s="95">
        <f t="shared" si="4"/>
        <v>95.09325327213372</v>
      </c>
    </row>
    <row r="270" spans="1:8" ht="24" customHeight="1" outlineLevel="1">
      <c r="A270" s="54" t="str">
        <f>'Приложение 3'!A277</f>
        <v>Закупка товаров, работ и услуг для государственных (муниципальных) нужд</v>
      </c>
      <c r="B270" s="93" t="str">
        <f>'Приложение 3'!C277</f>
        <v>1003</v>
      </c>
      <c r="C270" s="93" t="str">
        <f>'Приложение 3'!D277</f>
        <v>99</v>
      </c>
      <c r="D270" s="93">
        <f>'Приложение 3'!E277</f>
        <v>0</v>
      </c>
      <c r="E270" s="93">
        <f>'Приложение 3'!F277</f>
        <v>200</v>
      </c>
      <c r="F270" s="76">
        <f>'Приложение 3'!G277</f>
        <v>108.24213</v>
      </c>
      <c r="G270" s="76">
        <f>'Приложение 3'!H277</f>
        <v>103.47872</v>
      </c>
      <c r="H270" s="95">
        <f t="shared" si="4"/>
        <v>95.59930130717123</v>
      </c>
    </row>
    <row r="271" spans="1:8" ht="82.5" customHeight="1" outlineLevel="2">
      <c r="A271" s="54" t="str">
        <f>'Приложение 3'!A278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71" s="93" t="str">
        <f>'Приложение 3'!C278</f>
        <v>1003</v>
      </c>
      <c r="C271" s="93" t="str">
        <f>'Приложение 3'!D278</f>
        <v>99</v>
      </c>
      <c r="D271" s="93">
        <f>'Приложение 3'!E278</f>
        <v>0</v>
      </c>
      <c r="E271" s="93">
        <f>'Приложение 3'!F278</f>
        <v>300</v>
      </c>
      <c r="F271" s="76">
        <f>'Приложение 3'!G278</f>
        <v>1067.6999999999998</v>
      </c>
      <c r="G271" s="76">
        <f>'Приложение 3'!H278</f>
        <v>771.49154</v>
      </c>
      <c r="H271" s="95">
        <f t="shared" si="4"/>
        <v>72.25733258405921</v>
      </c>
    </row>
    <row r="272" spans="1:8" ht="75" customHeight="1" outlineLevel="3">
      <c r="A272" s="54" t="str">
        <f>'Приложение 3'!A279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72" s="93" t="str">
        <f>'Приложение 3'!C279</f>
        <v>1003</v>
      </c>
      <c r="C272" s="93" t="str">
        <f>'Приложение 3'!D279</f>
        <v>99</v>
      </c>
      <c r="D272" s="93">
        <f>'Приложение 3'!E279</f>
        <v>0</v>
      </c>
      <c r="E272" s="93">
        <f>'Приложение 3'!F279</f>
        <v>300</v>
      </c>
      <c r="F272" s="76">
        <f>'Приложение 3'!G279</f>
        <v>42.5</v>
      </c>
      <c r="G272" s="76">
        <f>'Приложение 3'!H279</f>
        <v>25.9</v>
      </c>
      <c r="H272" s="95">
        <f t="shared" si="4"/>
        <v>60.94117647058823</v>
      </c>
    </row>
    <row r="273" spans="1:8" ht="90" customHeight="1">
      <c r="A273" s="54" t="str">
        <f>'Приложение 3'!A280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73" s="93" t="str">
        <f>'Приложение 3'!C280</f>
        <v>1003</v>
      </c>
      <c r="C273" s="93" t="str">
        <f>'Приложение 3'!D280</f>
        <v>99</v>
      </c>
      <c r="D273" s="93">
        <f>'Приложение 3'!E280</f>
        <v>0</v>
      </c>
      <c r="E273" s="93">
        <f>'Приложение 3'!F280</f>
        <v>300</v>
      </c>
      <c r="F273" s="76">
        <f>'Приложение 3'!G280</f>
        <v>3024</v>
      </c>
      <c r="G273" s="76">
        <f>'Приложение 3'!H280</f>
        <v>2846.7</v>
      </c>
      <c r="H273" s="95">
        <f t="shared" si="4"/>
        <v>94.13690476190476</v>
      </c>
    </row>
    <row r="274" spans="1:8" ht="12.75" outlineLevel="1">
      <c r="A274" s="54" t="str">
        <f>'Приложение 3'!A281</f>
        <v>Охрана семьи и детства</v>
      </c>
      <c r="B274" s="93" t="str">
        <f>'Приложение 3'!C281</f>
        <v>1004</v>
      </c>
      <c r="C274" s="93"/>
      <c r="D274" s="93"/>
      <c r="E274" s="93"/>
      <c r="F274" s="76">
        <f>'Приложение 3'!G281</f>
        <v>7461.451</v>
      </c>
      <c r="G274" s="76">
        <f>'Приложение 3'!H281</f>
        <v>6848.250999999999</v>
      </c>
      <c r="H274" s="95">
        <f t="shared" si="4"/>
        <v>91.78175933876668</v>
      </c>
    </row>
    <row r="275" spans="1:8" ht="36" outlineLevel="1">
      <c r="A275" s="54" t="str">
        <f>'Приложение 3'!A282</f>
        <v>Муниципальная программа "Молодой семье – доступное жилье на территории Алексеевского муниципального района на 2019-2020 годы"</v>
      </c>
      <c r="B275" s="93" t="str">
        <f>'Приложение 3'!C282</f>
        <v>1004</v>
      </c>
      <c r="C275" s="93" t="str">
        <f>'Приложение 3'!D282</f>
        <v>11</v>
      </c>
      <c r="D275" s="93">
        <f>'Приложение 3'!E282</f>
        <v>0</v>
      </c>
      <c r="E275" s="93"/>
      <c r="F275" s="76">
        <f>'Приложение 3'!G282</f>
        <v>193.851</v>
      </c>
      <c r="G275" s="76">
        <f>'Приложение 3'!H282</f>
        <v>193.851</v>
      </c>
      <c r="H275" s="95">
        <f t="shared" si="4"/>
        <v>100</v>
      </c>
    </row>
    <row r="276" spans="1:8" ht="17.25" customHeight="1" outlineLevel="1">
      <c r="A276" s="54" t="str">
        <f>'Приложение 3'!A283</f>
        <v>Социальное обеспечение и иные выплаты населению</v>
      </c>
      <c r="B276" s="93" t="str">
        <f>'Приложение 3'!C283</f>
        <v>1004</v>
      </c>
      <c r="C276" s="93" t="str">
        <f>'Приложение 3'!D283</f>
        <v>11</v>
      </c>
      <c r="D276" s="93">
        <f>'Приложение 3'!E283</f>
        <v>0</v>
      </c>
      <c r="E276" s="93">
        <f>'Приложение 3'!F283</f>
        <v>300</v>
      </c>
      <c r="F276" s="76">
        <f>'Приложение 3'!G283</f>
        <v>193.851</v>
      </c>
      <c r="G276" s="76">
        <f>'Приложение 3'!H283</f>
        <v>193.851</v>
      </c>
      <c r="H276" s="95">
        <f t="shared" si="4"/>
        <v>100</v>
      </c>
    </row>
    <row r="277" spans="1:8" ht="27" customHeight="1" outlineLevel="1">
      <c r="A277" s="54" t="str">
        <f>'Приложение 3'!A284</f>
        <v>Непрограммные расходы органов местного самоуправления Алексеевского муниципального района</v>
      </c>
      <c r="B277" s="93" t="str">
        <f>'Приложение 3'!C284</f>
        <v>1004</v>
      </c>
      <c r="C277" s="93" t="str">
        <f>'Приложение 3'!D284</f>
        <v>99</v>
      </c>
      <c r="D277" s="93">
        <f>'Приложение 3'!E284</f>
        <v>0</v>
      </c>
      <c r="E277" s="93"/>
      <c r="F277" s="76">
        <f>'Приложение 3'!G284</f>
        <v>7267.6</v>
      </c>
      <c r="G277" s="76">
        <f>'Приложение 3'!H284</f>
        <v>6654.4</v>
      </c>
      <c r="H277" s="95">
        <f t="shared" si="4"/>
        <v>91.56255159887719</v>
      </c>
    </row>
    <row r="278" spans="1:8" ht="144" outlineLevel="5">
      <c r="A278" s="54" t="str">
        <f>'Приложение 3'!A285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78" s="93" t="str">
        <f>'Приложение 3'!C285</f>
        <v>1004</v>
      </c>
      <c r="C278" s="93" t="str">
        <f>'Приложение 3'!D285</f>
        <v>99</v>
      </c>
      <c r="D278" s="93">
        <f>'Приложение 3'!E285</f>
        <v>0</v>
      </c>
      <c r="E278" s="93"/>
      <c r="F278" s="76">
        <f>'Приложение 3'!G285</f>
        <v>440.0000000000001</v>
      </c>
      <c r="G278" s="76">
        <f>'Приложение 3'!H285</f>
        <v>440.0000000000001</v>
      </c>
      <c r="H278" s="95">
        <f t="shared" si="4"/>
        <v>100</v>
      </c>
    </row>
    <row r="279" spans="1:8" ht="16.5" customHeight="1" outlineLevel="5">
      <c r="A279" s="54" t="str">
        <f>'Приложение 3'!A286</f>
        <v>Социальное обеспечение и иные выплаты населению</v>
      </c>
      <c r="B279" s="93" t="str">
        <f>'Приложение 3'!C286</f>
        <v>1004</v>
      </c>
      <c r="C279" s="93" t="str">
        <f>'Приложение 3'!D286</f>
        <v>99</v>
      </c>
      <c r="D279" s="93">
        <f>'Приложение 3'!E286</f>
        <v>0</v>
      </c>
      <c r="E279" s="93">
        <f>'Приложение 3'!F286</f>
        <v>300</v>
      </c>
      <c r="F279" s="76">
        <f>'Приложение 3'!G286</f>
        <v>435.68274000000014</v>
      </c>
      <c r="G279" s="76">
        <f>'Приложение 3'!H286</f>
        <v>435.68274000000014</v>
      </c>
      <c r="H279" s="95">
        <f t="shared" si="4"/>
        <v>100</v>
      </c>
    </row>
    <row r="280" spans="1:8" ht="27" customHeight="1" outlineLevel="2">
      <c r="A280" s="54" t="str">
        <f>'Приложение 3'!A287</f>
        <v>Закупка товаров, работ и услуг для государственных (муниципальных) нужд</v>
      </c>
      <c r="B280" s="93" t="str">
        <f>'Приложение 3'!C287</f>
        <v>1004</v>
      </c>
      <c r="C280" s="93" t="str">
        <f>'Приложение 3'!D287</f>
        <v>99</v>
      </c>
      <c r="D280" s="93">
        <f>'Приложение 3'!E287</f>
        <v>0</v>
      </c>
      <c r="E280" s="93">
        <f>'Приложение 3'!F287</f>
        <v>200</v>
      </c>
      <c r="F280" s="76">
        <f>'Приложение 3'!G287</f>
        <v>4.31726</v>
      </c>
      <c r="G280" s="76">
        <f>'Приложение 3'!H287</f>
        <v>4.31726</v>
      </c>
      <c r="H280" s="95">
        <f t="shared" si="4"/>
        <v>100</v>
      </c>
    </row>
    <row r="281" spans="1:8" ht="112.5" customHeight="1" outlineLevel="3">
      <c r="A281" s="54" t="str">
        <f>'Приложение 3'!A288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81" s="93" t="str">
        <f>'Приложение 3'!C288</f>
        <v>1004</v>
      </c>
      <c r="C281" s="93" t="str">
        <f>'Приложение 3'!D288</f>
        <v>99</v>
      </c>
      <c r="D281" s="93">
        <f>'Приложение 3'!E288</f>
        <v>0</v>
      </c>
      <c r="E281" s="93"/>
      <c r="F281" s="76">
        <f>'Приложение 3'!G288</f>
        <v>6827.6</v>
      </c>
      <c r="G281" s="76">
        <f>'Приложение 3'!H288</f>
        <v>6214.4</v>
      </c>
      <c r="H281" s="95">
        <f t="shared" si="4"/>
        <v>91.01880602261409</v>
      </c>
    </row>
    <row r="282" spans="1:8" ht="12.75" outlineLevel="2">
      <c r="A282" s="54" t="str">
        <f>'Приложение 3'!A289</f>
        <v>на выплату пособий по опеке и попечительству</v>
      </c>
      <c r="B282" s="93" t="str">
        <f>'Приложение 3'!C289</f>
        <v>1004</v>
      </c>
      <c r="C282" s="93" t="str">
        <f>'Приложение 3'!D289</f>
        <v>99</v>
      </c>
      <c r="D282" s="93">
        <f>'Приложение 3'!E289</f>
        <v>0</v>
      </c>
      <c r="E282" s="93">
        <f>'Приложение 3'!F289</f>
        <v>300</v>
      </c>
      <c r="F282" s="76">
        <f>'Приложение 3'!G289</f>
        <v>5437</v>
      </c>
      <c r="G282" s="76">
        <f>'Приложение 3'!H289</f>
        <v>4823.8</v>
      </c>
      <c r="H282" s="95">
        <f t="shared" si="4"/>
        <v>88.72172153761265</v>
      </c>
    </row>
    <row r="283" spans="1:8" ht="41.25" customHeight="1" outlineLevel="3">
      <c r="A283" s="54" t="str">
        <f>'Приложение 3'!A290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83" s="93" t="str">
        <f>'Приложение 3'!C290</f>
        <v>1004</v>
      </c>
      <c r="C283" s="93" t="str">
        <f>'Приложение 3'!D290</f>
        <v>99</v>
      </c>
      <c r="D283" s="93">
        <f>'Приложение 3'!E290</f>
        <v>0</v>
      </c>
      <c r="E283" s="93">
        <f>'Приложение 3'!F290</f>
        <v>300</v>
      </c>
      <c r="F283" s="76">
        <f>'Приложение 3'!G290</f>
        <v>1390.6</v>
      </c>
      <c r="G283" s="76">
        <f>'Приложение 3'!H290</f>
        <v>1390.6</v>
      </c>
      <c r="H283" s="95">
        <f t="shared" si="4"/>
        <v>100</v>
      </c>
    </row>
    <row r="284" spans="1:8" ht="21" customHeight="1" outlineLevel="3">
      <c r="A284" s="54" t="str">
        <f>'Приложение 3'!A291</f>
        <v>Другие вопросы в области социальной политики</v>
      </c>
      <c r="B284" s="93" t="str">
        <f>'Приложение 3'!C291</f>
        <v>1006</v>
      </c>
      <c r="C284" s="93">
        <f>'Приложение 3'!D291</f>
        <v>0</v>
      </c>
      <c r="D284" s="93">
        <f>'Приложение 3'!E291</f>
        <v>0</v>
      </c>
      <c r="E284" s="93">
        <f>'Приложение 3'!F291</f>
        <v>0</v>
      </c>
      <c r="F284" s="76">
        <f>'Приложение 3'!G291</f>
        <v>1186.49</v>
      </c>
      <c r="G284" s="76">
        <f>'Приложение 3'!H291</f>
        <v>1052.82705</v>
      </c>
      <c r="H284" s="95">
        <f t="shared" si="4"/>
        <v>88.73459110485551</v>
      </c>
    </row>
    <row r="285" spans="1:8" ht="27" customHeight="1" outlineLevel="3">
      <c r="A285" s="54" t="str">
        <f>'Приложение 3'!A292</f>
        <v>Непрограммные расходы органов местного самоуправления Алексеевского муниципального района</v>
      </c>
      <c r="B285" s="93" t="str">
        <f>'Приложение 3'!C292</f>
        <v>1006</v>
      </c>
      <c r="C285" s="93" t="str">
        <f>'Приложение 3'!D292</f>
        <v>99</v>
      </c>
      <c r="D285" s="93">
        <f>'Приложение 3'!E292</f>
        <v>0</v>
      </c>
      <c r="E285" s="93">
        <f>'Приложение 3'!F292</f>
        <v>0</v>
      </c>
      <c r="F285" s="76">
        <f>'Приложение 3'!G292</f>
        <v>1186.49</v>
      </c>
      <c r="G285" s="76">
        <f>'Приложение 3'!H292</f>
        <v>1052.82705</v>
      </c>
      <c r="H285" s="95">
        <f t="shared" si="4"/>
        <v>88.73459110485551</v>
      </c>
    </row>
    <row r="286" spans="1:8" ht="41.25" customHeight="1" outlineLevel="3">
      <c r="A286" s="54" t="str">
        <f>'Приложение 3'!A293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6" s="93" t="str">
        <f>'Приложение 3'!C293</f>
        <v>1006</v>
      </c>
      <c r="C286" s="93" t="str">
        <f>'Приложение 3'!D293</f>
        <v>99</v>
      </c>
      <c r="D286" s="93">
        <f>'Приложение 3'!E293</f>
        <v>0</v>
      </c>
      <c r="E286" s="93">
        <f>'Приложение 3'!F293</f>
        <v>0</v>
      </c>
      <c r="F286" s="76">
        <f>'Приложение 3'!G293</f>
        <v>1186.49</v>
      </c>
      <c r="G286" s="76">
        <f>'Приложение 3'!H293</f>
        <v>1052.82705</v>
      </c>
      <c r="H286" s="95">
        <f t="shared" si="4"/>
        <v>88.73459110485551</v>
      </c>
    </row>
    <row r="287" spans="1:8" ht="41.25" customHeight="1" outlineLevel="3">
      <c r="A287" s="54" t="str">
        <f>'Приложение 3'!A294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7" s="93" t="str">
        <f>'Приложение 3'!C294</f>
        <v>1006</v>
      </c>
      <c r="C287" s="93" t="str">
        <f>'Приложение 3'!D294</f>
        <v>99</v>
      </c>
      <c r="D287" s="93">
        <f>'Приложение 3'!E294</f>
        <v>0</v>
      </c>
      <c r="E287" s="93">
        <f>'Приложение 3'!F294</f>
        <v>100</v>
      </c>
      <c r="F287" s="76">
        <f>'Приложение 3'!G294</f>
        <v>931.62184</v>
      </c>
      <c r="G287" s="76">
        <f>'Приложение 3'!H294</f>
        <v>931.62184</v>
      </c>
      <c r="H287" s="95">
        <f t="shared" si="4"/>
        <v>100</v>
      </c>
    </row>
    <row r="288" spans="1:8" ht="22.5" customHeight="1" outlineLevel="3">
      <c r="A288" s="54" t="str">
        <f>'Приложение 3'!A295</f>
        <v>Закупка товаров, работ и услуг для государственных (муниципальных) нужд</v>
      </c>
      <c r="B288" s="93" t="str">
        <f>'Приложение 3'!C295</f>
        <v>1006</v>
      </c>
      <c r="C288" s="93" t="str">
        <f>'Приложение 3'!D295</f>
        <v>99</v>
      </c>
      <c r="D288" s="93">
        <f>'Приложение 3'!E295</f>
        <v>0</v>
      </c>
      <c r="E288" s="93">
        <f>'Приложение 3'!F295</f>
        <v>200</v>
      </c>
      <c r="F288" s="76">
        <f>'Приложение 3'!G295</f>
        <v>254.86816000000002</v>
      </c>
      <c r="G288" s="76">
        <f>'Приложение 3'!H295</f>
        <v>121.20521</v>
      </c>
      <c r="H288" s="95">
        <f t="shared" si="4"/>
        <v>47.55604230830559</v>
      </c>
    </row>
    <row r="289" spans="1:8" ht="15.75" customHeight="1" outlineLevel="2">
      <c r="A289" s="54" t="str">
        <f>'Приложение 3'!A296</f>
        <v>Физическая культура и спорт</v>
      </c>
      <c r="B289" s="93" t="str">
        <f>'Приложение 3'!C296</f>
        <v>1100</v>
      </c>
      <c r="C289" s="93"/>
      <c r="D289" s="93"/>
      <c r="E289" s="93"/>
      <c r="F289" s="76">
        <f>'Приложение 3'!G296</f>
        <v>600</v>
      </c>
      <c r="G289" s="76">
        <f>'Приложение 3'!H296</f>
        <v>600</v>
      </c>
      <c r="H289" s="95">
        <f t="shared" si="4"/>
        <v>100</v>
      </c>
    </row>
    <row r="290" spans="1:8" ht="17.25" customHeight="1" outlineLevel="2">
      <c r="A290" s="54" t="str">
        <f>'Приложение 3'!A297</f>
        <v>Другие вопросы в области физической культуры и спорта</v>
      </c>
      <c r="B290" s="93" t="str">
        <f>'Приложение 3'!C297</f>
        <v>1105</v>
      </c>
      <c r="C290" s="93"/>
      <c r="D290" s="93"/>
      <c r="E290" s="93"/>
      <c r="F290" s="76">
        <f>'Приложение 3'!G297</f>
        <v>600</v>
      </c>
      <c r="G290" s="76">
        <f>'Приложение 3'!H297</f>
        <v>600</v>
      </c>
      <c r="H290" s="95">
        <f t="shared" si="4"/>
        <v>100</v>
      </c>
    </row>
    <row r="291" spans="1:8" ht="36" outlineLevel="3">
      <c r="A291" s="54" t="str">
        <f>'Приложение 3'!A298</f>
        <v>Муниципальная программа "Развитие физической культуры и спорта в Алексеевском муниципальном районе на 2019-2023 годы"</v>
      </c>
      <c r="B291" s="93" t="str">
        <f>'Приложение 3'!C298</f>
        <v>1105</v>
      </c>
      <c r="C291" s="93" t="str">
        <f>'Приложение 3'!D298</f>
        <v>17</v>
      </c>
      <c r="D291" s="93">
        <f>'Приложение 3'!E298</f>
        <v>0</v>
      </c>
      <c r="E291" s="93"/>
      <c r="F291" s="76">
        <f>'Приложение 3'!G298</f>
        <v>600</v>
      </c>
      <c r="G291" s="76">
        <f>'Приложение 3'!H298</f>
        <v>600</v>
      </c>
      <c r="H291" s="95">
        <f t="shared" si="4"/>
        <v>100</v>
      </c>
    </row>
    <row r="292" spans="1:8" ht="28.5" customHeight="1" outlineLevel="3">
      <c r="A292" s="54" t="str">
        <f>'Приложение 3'!A299</f>
        <v>Закупка товаров, работ и услуг для государственных (муниципальных) нужд</v>
      </c>
      <c r="B292" s="93" t="str">
        <f>'Приложение 3'!C299</f>
        <v>1105</v>
      </c>
      <c r="C292" s="93" t="str">
        <f>'Приложение 3'!D299</f>
        <v>17</v>
      </c>
      <c r="D292" s="93">
        <f>'Приложение 3'!E299</f>
        <v>0</v>
      </c>
      <c r="E292" s="93">
        <f>'Приложение 3'!F299</f>
        <v>200</v>
      </c>
      <c r="F292" s="76">
        <f>'Приложение 3'!G299</f>
        <v>600</v>
      </c>
      <c r="G292" s="76">
        <f>'Приложение 3'!H299</f>
        <v>600</v>
      </c>
      <c r="H292" s="95">
        <f t="shared" si="4"/>
        <v>100</v>
      </c>
    </row>
    <row r="293" spans="1:8" ht="16.5" customHeight="1" outlineLevel="3">
      <c r="A293" s="54" t="str">
        <f>'Приложение 3'!A300</f>
        <v>Средства массовой информации </v>
      </c>
      <c r="B293" s="93" t="str">
        <f>'Приложение 3'!C300</f>
        <v>1200</v>
      </c>
      <c r="C293" s="93"/>
      <c r="D293" s="93"/>
      <c r="E293" s="93"/>
      <c r="F293" s="76">
        <f>'Приложение 3'!G300</f>
        <v>2449.415</v>
      </c>
      <c r="G293" s="76">
        <f>'Приложение 3'!H300</f>
        <v>2449.415</v>
      </c>
      <c r="H293" s="95">
        <f t="shared" si="4"/>
        <v>100</v>
      </c>
    </row>
    <row r="294" spans="1:8" ht="13.5" customHeight="1" outlineLevel="3">
      <c r="A294" s="54" t="str">
        <f>'Приложение 3'!A301</f>
        <v>Периодическая печать и издательство</v>
      </c>
      <c r="B294" s="93" t="str">
        <f>'Приложение 3'!C301</f>
        <v>1202</v>
      </c>
      <c r="C294" s="93"/>
      <c r="D294" s="93"/>
      <c r="E294" s="93"/>
      <c r="F294" s="76">
        <f>'Приложение 3'!G301</f>
        <v>2449.415</v>
      </c>
      <c r="G294" s="76">
        <f>'Приложение 3'!H301</f>
        <v>2449.415</v>
      </c>
      <c r="H294" s="95">
        <f t="shared" si="4"/>
        <v>100</v>
      </c>
    </row>
    <row r="295" spans="1:8" ht="36" outlineLevel="1">
      <c r="A295" s="54" t="str">
        <f>'Приложение 3'!A302</f>
        <v>Ведомственная целевая программа "Поддержка средств массовой информации в Алексеевском муниципальном районе на 2019-2021 годы"</v>
      </c>
      <c r="B295" s="93" t="str">
        <f>'Приложение 3'!C302</f>
        <v>1202</v>
      </c>
      <c r="C295" s="93" t="str">
        <f>'Приложение 3'!D302</f>
        <v>61</v>
      </c>
      <c r="D295" s="93">
        <f>'Приложение 3'!E302</f>
        <v>0</v>
      </c>
      <c r="E295" s="93"/>
      <c r="F295" s="76">
        <f>'Приложение 3'!G302</f>
        <v>2449.415</v>
      </c>
      <c r="G295" s="76">
        <f>'Приложение 3'!H302</f>
        <v>2449.415</v>
      </c>
      <c r="H295" s="95">
        <f t="shared" si="4"/>
        <v>100</v>
      </c>
    </row>
    <row r="296" spans="1:8" ht="23.25" customHeight="1" outlineLevel="2">
      <c r="A296" s="54" t="str">
        <f>'Приложение 3'!A303</f>
        <v>Предоставление субсидий бюджетным, автономным учреждениям и иным некоммерческим организациям</v>
      </c>
      <c r="B296" s="93" t="str">
        <f>'Приложение 3'!C303</f>
        <v>1202</v>
      </c>
      <c r="C296" s="93" t="str">
        <f>'Приложение 3'!D303</f>
        <v>61</v>
      </c>
      <c r="D296" s="93">
        <f>'Приложение 3'!E303</f>
        <v>0</v>
      </c>
      <c r="E296" s="93">
        <f>'Приложение 3'!F303</f>
        <v>600</v>
      </c>
      <c r="F296" s="76">
        <f>'Приложение 3'!G303</f>
        <v>1400</v>
      </c>
      <c r="G296" s="76">
        <f>'Приложение 3'!H303</f>
        <v>1400</v>
      </c>
      <c r="H296" s="95">
        <f t="shared" si="4"/>
        <v>100</v>
      </c>
    </row>
    <row r="297" spans="1:8" ht="96" outlineLevel="2">
      <c r="A297" s="54" t="str">
        <f>'Приложение 3'!A304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297" s="93" t="str">
        <f>'Приложение 3'!C304</f>
        <v>1202</v>
      </c>
      <c r="C297" s="93" t="str">
        <f>'Приложение 3'!D304</f>
        <v>61</v>
      </c>
      <c r="D297" s="93">
        <f>'Приложение 3'!E304</f>
        <v>0</v>
      </c>
      <c r="E297" s="93">
        <f>'Приложение 3'!F304</f>
        <v>600</v>
      </c>
      <c r="F297" s="76">
        <f>'Приложение 3'!G304</f>
        <v>1049.415</v>
      </c>
      <c r="G297" s="76">
        <f>'Приложение 3'!H304</f>
        <v>1049.415</v>
      </c>
      <c r="H297" s="95">
        <f t="shared" si="4"/>
        <v>100</v>
      </c>
    </row>
    <row r="298" spans="1:8" ht="12.75" outlineLevel="5">
      <c r="A298" s="54" t="str">
        <f>'Приложение 3'!A305</f>
        <v>Обслуживание государственного и муниципального долга </v>
      </c>
      <c r="B298" s="93" t="str">
        <f>'Приложение 3'!C305</f>
        <v>1300</v>
      </c>
      <c r="C298" s="93"/>
      <c r="D298" s="93"/>
      <c r="E298" s="93"/>
      <c r="F298" s="76">
        <f>'Приложение 3'!G305</f>
        <v>0</v>
      </c>
      <c r="G298" s="76">
        <f>'Приложение 3'!H305</f>
        <v>0</v>
      </c>
      <c r="H298" s="95">
        <v>0</v>
      </c>
    </row>
    <row r="299" spans="1:8" ht="24" outlineLevel="5">
      <c r="A299" s="54" t="str">
        <f>'Приложение 3'!A306</f>
        <v>Обслуживание государственного внутреннего и муниципального долга</v>
      </c>
      <c r="B299" s="93" t="str">
        <f>'Приложение 3'!C306</f>
        <v>1301</v>
      </c>
      <c r="C299" s="93"/>
      <c r="D299" s="93"/>
      <c r="E299" s="93"/>
      <c r="F299" s="76">
        <f>'Приложение 3'!G306</f>
        <v>0</v>
      </c>
      <c r="G299" s="76">
        <f>'Приложение 3'!H306</f>
        <v>0</v>
      </c>
      <c r="H299" s="95">
        <v>0</v>
      </c>
    </row>
    <row r="300" spans="1:8" ht="27.75" customHeight="1" outlineLevel="5">
      <c r="A300" s="54" t="str">
        <f>'Приложение 3'!A307</f>
        <v>Непрограммные расходы органов местного самоуправления Алексеевского муниципального района</v>
      </c>
      <c r="B300" s="93" t="str">
        <f>'Приложение 3'!C307</f>
        <v>1301</v>
      </c>
      <c r="C300" s="93" t="str">
        <f>'Приложение 3'!D307</f>
        <v>99</v>
      </c>
      <c r="D300" s="93">
        <f>'Приложение 3'!E307</f>
        <v>0</v>
      </c>
      <c r="E300" s="93"/>
      <c r="F300" s="76">
        <f>'Приложение 3'!G307</f>
        <v>0</v>
      </c>
      <c r="G300" s="76">
        <f>'Приложение 3'!H307</f>
        <v>0</v>
      </c>
      <c r="H300" s="95">
        <v>0</v>
      </c>
    </row>
    <row r="301" spans="1:8" ht="12.75" outlineLevel="5">
      <c r="A301" s="54" t="str">
        <f>'Приложение 3'!A308</f>
        <v>Обслуживание  государственного (муниципального) долга </v>
      </c>
      <c r="B301" s="93" t="str">
        <f>'Приложение 3'!C308</f>
        <v>1301</v>
      </c>
      <c r="C301" s="93" t="str">
        <f>'Приложение 3'!D308</f>
        <v>99</v>
      </c>
      <c r="D301" s="93">
        <f>'Приложение 3'!E308</f>
        <v>0</v>
      </c>
      <c r="E301" s="93">
        <f>'Приложение 3'!F308</f>
        <v>700</v>
      </c>
      <c r="F301" s="76">
        <f>'Приложение 3'!G308</f>
        <v>0</v>
      </c>
      <c r="G301" s="76">
        <f>'Приложение 3'!H308</f>
        <v>0</v>
      </c>
      <c r="H301" s="95">
        <v>0</v>
      </c>
    </row>
    <row r="302" spans="1:8" ht="24" outlineLevel="5">
      <c r="A302" s="54" t="str">
        <f>'Приложение 3'!A309</f>
        <v>Межбюджетные трансферты общего характера бюджетам бюджетной системы Российской Федерации</v>
      </c>
      <c r="B302" s="93" t="str">
        <f>'Приложение 3'!C309</f>
        <v>1400</v>
      </c>
      <c r="C302" s="93"/>
      <c r="D302" s="93"/>
      <c r="E302" s="93"/>
      <c r="F302" s="76">
        <f>'Приложение 3'!G309</f>
        <v>22067</v>
      </c>
      <c r="G302" s="76">
        <f>'Приложение 3'!H309</f>
        <v>22067</v>
      </c>
      <c r="H302" s="95">
        <f t="shared" si="4"/>
        <v>100</v>
      </c>
    </row>
    <row r="303" spans="1:8" ht="12.75" outlineLevel="5">
      <c r="A303" s="54" t="str">
        <f>'Приложение 3'!A310</f>
        <v>Прочие межбюджетные трансферты общего характера</v>
      </c>
      <c r="B303" s="93" t="str">
        <f>'Приложение 3'!C310</f>
        <v>1403</v>
      </c>
      <c r="C303" s="93"/>
      <c r="D303" s="93"/>
      <c r="E303" s="93"/>
      <c r="F303" s="76">
        <f>'Приложение 3'!G310</f>
        <v>22067</v>
      </c>
      <c r="G303" s="76">
        <f>'Приложение 3'!H310</f>
        <v>22067</v>
      </c>
      <c r="H303" s="95">
        <f t="shared" si="4"/>
        <v>100</v>
      </c>
    </row>
    <row r="304" spans="1:8" ht="30.75" customHeight="1" outlineLevel="5">
      <c r="A304" s="54" t="str">
        <f>'Приложение 3'!A311</f>
        <v>Непрограммные расходы органов местного самоуправления Алексеевского муниципального района</v>
      </c>
      <c r="B304" s="93" t="str">
        <f>'Приложение 3'!C311</f>
        <v>1403</v>
      </c>
      <c r="C304" s="93" t="str">
        <f>'Приложение 3'!D311</f>
        <v>99</v>
      </c>
      <c r="D304" s="93">
        <f>'Приложение 3'!E311</f>
        <v>0</v>
      </c>
      <c r="E304" s="93"/>
      <c r="F304" s="76">
        <f>'Приложение 3'!G311</f>
        <v>22067</v>
      </c>
      <c r="G304" s="76">
        <f>'Приложение 3'!H311</f>
        <v>22067</v>
      </c>
      <c r="H304" s="95">
        <f t="shared" si="4"/>
        <v>100</v>
      </c>
    </row>
    <row r="305" spans="1:8" ht="18.75" customHeight="1" outlineLevel="5">
      <c r="A305" s="54" t="str">
        <f>'Приложение 3'!A312</f>
        <v>Межбюджетные трансферты</v>
      </c>
      <c r="B305" s="93" t="str">
        <f>'Приложение 3'!C312</f>
        <v>1403</v>
      </c>
      <c r="C305" s="93" t="str">
        <f>'Приложение 3'!D312</f>
        <v>99</v>
      </c>
      <c r="D305" s="93">
        <f>'Приложение 3'!E312</f>
        <v>0</v>
      </c>
      <c r="E305" s="93">
        <f>'Приложение 3'!F312</f>
        <v>500</v>
      </c>
      <c r="F305" s="76">
        <f>'Приложение 3'!G312</f>
        <v>22067</v>
      </c>
      <c r="G305" s="76">
        <f>'Приложение 3'!H312</f>
        <v>22067</v>
      </c>
      <c r="H305" s="95">
        <f t="shared" si="4"/>
        <v>100</v>
      </c>
    </row>
    <row r="306" spans="1:8" ht="21.75" customHeight="1" outlineLevel="5">
      <c r="A306" s="54" t="str">
        <f>'Приложение 3'!A313</f>
        <v>Всего </v>
      </c>
      <c r="B306" s="93"/>
      <c r="C306" s="93"/>
      <c r="D306" s="93"/>
      <c r="E306" s="93"/>
      <c r="F306" s="76">
        <f>'Приложение 3'!G313</f>
        <v>433348.2332799999</v>
      </c>
      <c r="G306" s="76">
        <f>'Приложение 3'!H313</f>
        <v>394410.0522</v>
      </c>
      <c r="H306" s="95">
        <f t="shared" si="4"/>
        <v>91.01457486389687</v>
      </c>
    </row>
    <row r="307" spans="1:6" ht="12.75">
      <c r="A307" s="2"/>
      <c r="B307" s="2"/>
      <c r="C307" s="2"/>
      <c r="D307" s="2"/>
      <c r="E307" s="2"/>
      <c r="F307" s="40"/>
    </row>
  </sheetData>
  <sheetProtection/>
  <mergeCells count="5">
    <mergeCell ref="A3:H3"/>
    <mergeCell ref="F7:H7"/>
    <mergeCell ref="A5:H5"/>
    <mergeCell ref="F1:H1"/>
    <mergeCell ref="B2:H2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6"/>
  <sheetViews>
    <sheetView showGridLines="0" zoomScalePageLayoutView="0" workbookViewId="0" topLeftCell="A1">
      <pane ySplit="8" topLeftCell="A67" activePane="bottomLeft" state="frozen"/>
      <selection pane="topLeft" activeCell="A1" sqref="A1"/>
      <selection pane="bottomLeft" activeCell="H12" sqref="H12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421875" style="11" customWidth="1"/>
    <col min="5" max="5" width="8.7109375" style="15" customWidth="1"/>
    <col min="6" max="6" width="9.00390625" style="2" customWidth="1"/>
    <col min="7" max="7" width="8.8515625" style="2" customWidth="1"/>
    <col min="8" max="8" width="12.140625" style="2" customWidth="1"/>
    <col min="9" max="9" width="12.57421875" style="2" bestFit="1" customWidth="1"/>
    <col min="10" max="16384" width="9.140625" style="2" customWidth="1"/>
  </cols>
  <sheetData>
    <row r="1" spans="3:8" ht="18.75">
      <c r="C1" s="109" t="s">
        <v>246</v>
      </c>
      <c r="D1" s="109"/>
      <c r="E1" s="109"/>
      <c r="F1" s="109"/>
      <c r="G1" s="109"/>
      <c r="H1" s="24"/>
    </row>
    <row r="2" spans="3:8" ht="18.75">
      <c r="C2" s="109" t="s">
        <v>132</v>
      </c>
      <c r="D2" s="109"/>
      <c r="E2" s="109"/>
      <c r="F2" s="109"/>
      <c r="G2" s="109"/>
      <c r="H2" s="24"/>
    </row>
    <row r="3" spans="3:8" ht="18.75">
      <c r="C3" s="109" t="s">
        <v>133</v>
      </c>
      <c r="D3" s="109"/>
      <c r="E3" s="109"/>
      <c r="F3" s="109"/>
      <c r="G3" s="109"/>
      <c r="H3" s="24"/>
    </row>
    <row r="4" spans="1:8" ht="21.75" customHeight="1">
      <c r="A4" s="8"/>
      <c r="B4" s="1"/>
      <c r="C4" s="109" t="s">
        <v>163</v>
      </c>
      <c r="D4" s="109"/>
      <c r="E4" s="109"/>
      <c r="F4" s="109"/>
      <c r="G4" s="109"/>
      <c r="H4" s="24"/>
    </row>
    <row r="5" spans="1:8" ht="36.75" customHeight="1">
      <c r="A5" s="115" t="s">
        <v>327</v>
      </c>
      <c r="B5" s="115"/>
      <c r="C5" s="115"/>
      <c r="D5" s="115"/>
      <c r="E5" s="115"/>
      <c r="F5" s="115"/>
      <c r="G5" s="115"/>
      <c r="H5" s="67"/>
    </row>
    <row r="6" spans="1:8" ht="12.75" hidden="1">
      <c r="A6" s="33"/>
      <c r="B6" s="34"/>
      <c r="C6" s="35"/>
      <c r="D6" s="37"/>
      <c r="E6" s="36"/>
      <c r="F6" s="17"/>
      <c r="G6" s="17"/>
      <c r="H6" s="17"/>
    </row>
    <row r="7" spans="1:8" ht="12.75" customHeight="1">
      <c r="A7" s="33"/>
      <c r="B7" s="34"/>
      <c r="C7" s="35"/>
      <c r="D7" s="37"/>
      <c r="E7" s="116" t="s">
        <v>165</v>
      </c>
      <c r="F7" s="116"/>
      <c r="G7" s="116"/>
      <c r="H7" s="69"/>
    </row>
    <row r="8" spans="1:8" ht="72.75" customHeight="1">
      <c r="A8" s="61" t="s">
        <v>1</v>
      </c>
      <c r="B8" s="59" t="s">
        <v>192</v>
      </c>
      <c r="C8" s="62" t="s">
        <v>8</v>
      </c>
      <c r="D8" s="60" t="s">
        <v>191</v>
      </c>
      <c r="E8" s="38" t="s">
        <v>317</v>
      </c>
      <c r="F8" s="38" t="s">
        <v>319</v>
      </c>
      <c r="G8" s="38" t="s">
        <v>318</v>
      </c>
      <c r="H8" s="70"/>
    </row>
    <row r="9" spans="1:8" ht="39" customHeight="1" outlineLevel="2">
      <c r="A9" s="63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85" t="str">
        <f>'Приложение 3'!D49</f>
        <v>01</v>
      </c>
      <c r="C9" s="85">
        <f>'Приложение 3'!E49</f>
        <v>0</v>
      </c>
      <c r="D9" s="85" t="s">
        <v>193</v>
      </c>
      <c r="E9" s="86">
        <f>SUM('Приложение 3'!G49)</f>
        <v>46.28</v>
      </c>
      <c r="F9" s="86">
        <f>SUM('Приложение 3'!H49)</f>
        <v>46.28</v>
      </c>
      <c r="G9" s="86">
        <f aca="true" t="shared" si="0" ref="G9:G19">SUM(F9/E9)*100</f>
        <v>100</v>
      </c>
      <c r="H9" s="71"/>
    </row>
    <row r="10" spans="1:8" ht="17.25" customHeight="1" outlineLevel="2">
      <c r="A10" s="64" t="s">
        <v>199</v>
      </c>
      <c r="B10" s="44" t="s">
        <v>2</v>
      </c>
      <c r="C10" s="44" t="s">
        <v>9</v>
      </c>
      <c r="D10" s="44" t="s">
        <v>2</v>
      </c>
      <c r="E10" s="84">
        <f>SUM('Приложение 3'!G50)</f>
        <v>46.28</v>
      </c>
      <c r="F10" s="84">
        <f>SUM('Приложение 3'!H50)</f>
        <v>46.28</v>
      </c>
      <c r="G10" s="84">
        <f t="shared" si="0"/>
        <v>100</v>
      </c>
      <c r="H10" s="72"/>
    </row>
    <row r="11" spans="1:8" ht="40.5" customHeight="1" outlineLevel="5">
      <c r="A11" s="57" t="str">
        <f>'Приложение 3'!A138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85" t="s">
        <v>6</v>
      </c>
      <c r="C11" s="87">
        <v>0</v>
      </c>
      <c r="D11" s="85" t="s">
        <v>193</v>
      </c>
      <c r="E11" s="86">
        <f>SUM(E12+E17+E14)</f>
        <v>39260.15324</v>
      </c>
      <c r="F11" s="86">
        <f>SUM(F12+F17+F14)</f>
        <v>17260.15324</v>
      </c>
      <c r="G11" s="86">
        <f t="shared" si="0"/>
        <v>43.96354016880042</v>
      </c>
      <c r="H11" s="71"/>
    </row>
    <row r="12" spans="1:8" ht="49.5" customHeight="1" outlineLevel="5">
      <c r="A12" s="57" t="str">
        <f>'Приложение 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85" t="s">
        <v>6</v>
      </c>
      <c r="C12" s="87">
        <v>1</v>
      </c>
      <c r="D12" s="85" t="s">
        <v>193</v>
      </c>
      <c r="E12" s="86">
        <f>SUM(E13)</f>
        <v>8281.1</v>
      </c>
      <c r="F12" s="86">
        <f>SUM(F13)</f>
        <v>8281.1</v>
      </c>
      <c r="G12" s="86">
        <f t="shared" si="0"/>
        <v>100</v>
      </c>
      <c r="H12" s="71"/>
    </row>
    <row r="13" spans="1:8" ht="27" customHeight="1">
      <c r="A13" s="64" t="s">
        <v>204</v>
      </c>
      <c r="B13" s="44" t="s">
        <v>6</v>
      </c>
      <c r="C13" s="44" t="s">
        <v>196</v>
      </c>
      <c r="D13" s="44" t="s">
        <v>2</v>
      </c>
      <c r="E13" s="84">
        <f>SUM('Приложение 3'!G140+'Приложение 3'!G141)</f>
        <v>8281.1</v>
      </c>
      <c r="F13" s="84">
        <f>SUM('Приложение 3'!H140+'Приложение 3'!H141)</f>
        <v>8281.1</v>
      </c>
      <c r="G13" s="84">
        <f t="shared" si="0"/>
        <v>100</v>
      </c>
      <c r="H13" s="72"/>
    </row>
    <row r="14" spans="1:8" ht="27" customHeight="1">
      <c r="A14" s="57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85" t="s">
        <v>6</v>
      </c>
      <c r="C14" s="87">
        <v>3</v>
      </c>
      <c r="D14" s="85" t="s">
        <v>193</v>
      </c>
      <c r="E14" s="86">
        <f>SUM(E15:E16)</f>
        <v>29251.098719999998</v>
      </c>
      <c r="F14" s="86">
        <f>SUM(F15:F16)</f>
        <v>7251.098720000001</v>
      </c>
      <c r="G14" s="86">
        <f t="shared" si="0"/>
        <v>24.789149937271144</v>
      </c>
      <c r="H14" s="72"/>
    </row>
    <row r="15" spans="1:8" ht="37.5" customHeight="1">
      <c r="A15" s="56" t="s">
        <v>230</v>
      </c>
      <c r="B15" s="44" t="s">
        <v>6</v>
      </c>
      <c r="C15" s="44" t="s">
        <v>198</v>
      </c>
      <c r="D15" s="44" t="s">
        <v>2</v>
      </c>
      <c r="E15" s="84">
        <f>SUM('Приложение 3'!G263+'Приложение 3'!G158)</f>
        <v>22029.06602</v>
      </c>
      <c r="F15" s="84">
        <f>SUM('Приложение 3'!H263+'Приложение 3'!H158)</f>
        <v>29.06601999999998</v>
      </c>
      <c r="G15" s="84">
        <f t="shared" si="0"/>
        <v>0.13194395065869424</v>
      </c>
      <c r="H15" s="72"/>
    </row>
    <row r="16" spans="1:8" ht="27.75" customHeight="1">
      <c r="A16" s="64" t="s">
        <v>220</v>
      </c>
      <c r="B16" s="44" t="s">
        <v>6</v>
      </c>
      <c r="C16" s="44" t="s">
        <v>198</v>
      </c>
      <c r="D16" s="44" t="s">
        <v>6</v>
      </c>
      <c r="E16" s="84">
        <f>SUM('Приложение 3'!G159+'Приложение 3'!G177+'Приложение 3'!G65+'Приложение 3'!G202+'Приложение 3'!G234)</f>
        <v>7222.032700000001</v>
      </c>
      <c r="F16" s="84">
        <f>SUM('Приложение 3'!H159+'Приложение 3'!H177+'Приложение 3'!H65+'Приложение 3'!H202+'Приложение 3'!H234)</f>
        <v>7222.032700000001</v>
      </c>
      <c r="G16" s="84">
        <f t="shared" si="0"/>
        <v>100</v>
      </c>
      <c r="H16" s="72"/>
    </row>
    <row r="17" spans="1:8" ht="36" customHeight="1">
      <c r="A17" s="63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7" s="85" t="s">
        <v>6</v>
      </c>
      <c r="C17" s="85" t="s">
        <v>205</v>
      </c>
      <c r="D17" s="85" t="s">
        <v>193</v>
      </c>
      <c r="E17" s="86">
        <f>SUM(E18)</f>
        <v>1727.95452</v>
      </c>
      <c r="F17" s="86">
        <f>SUM(F18)</f>
        <v>1727.95452</v>
      </c>
      <c r="G17" s="86">
        <f t="shared" si="0"/>
        <v>100</v>
      </c>
      <c r="H17" s="71"/>
    </row>
    <row r="18" spans="1:8" ht="27.75" customHeight="1">
      <c r="A18" s="64" t="s">
        <v>241</v>
      </c>
      <c r="B18" s="44" t="s">
        <v>6</v>
      </c>
      <c r="C18" s="44" t="s">
        <v>205</v>
      </c>
      <c r="D18" s="44" t="s">
        <v>2</v>
      </c>
      <c r="E18" s="84">
        <f>SUM('Приложение 3'!G67+'Приложение 3'!G161+'Приложение 3'!G180+'Приложение 3'!G237)</f>
        <v>1727.95452</v>
      </c>
      <c r="F18" s="84">
        <f>SUM('Приложение 3'!H67+'Приложение 3'!H161+'Приложение 3'!H180+'Приложение 3'!H237)</f>
        <v>1727.95452</v>
      </c>
      <c r="G18" s="84">
        <f t="shared" si="0"/>
        <v>100</v>
      </c>
      <c r="H18" s="72"/>
    </row>
    <row r="19" spans="1:8" ht="36.75" customHeight="1">
      <c r="A19" s="57" t="str">
        <f>'Приложение 3'!A120</f>
        <v>Муниципальная программа "Развитие и поддержка малого предпринимательства Алексеевского муниципального района на 2019-2023 годы "</v>
      </c>
      <c r="B19" s="85" t="s">
        <v>13</v>
      </c>
      <c r="C19" s="85" t="s">
        <v>9</v>
      </c>
      <c r="D19" s="85" t="s">
        <v>193</v>
      </c>
      <c r="E19" s="86">
        <f>SUM('Приложение 3'!G120)</f>
        <v>80</v>
      </c>
      <c r="F19" s="86">
        <f>SUM('Приложение 3'!H120)</f>
        <v>80</v>
      </c>
      <c r="G19" s="86">
        <f t="shared" si="0"/>
        <v>100</v>
      </c>
      <c r="H19" s="71"/>
    </row>
    <row r="20" spans="1:8" ht="36.75" customHeight="1">
      <c r="A20" s="64" t="s">
        <v>206</v>
      </c>
      <c r="B20" s="44" t="s">
        <v>13</v>
      </c>
      <c r="C20" s="44" t="s">
        <v>9</v>
      </c>
      <c r="D20" s="44" t="s">
        <v>2</v>
      </c>
      <c r="E20" s="84">
        <f>SUM('Приложение 3'!G121)</f>
        <v>0</v>
      </c>
      <c r="F20" s="84">
        <f>SUM('Приложение 3'!H121)</f>
        <v>0</v>
      </c>
      <c r="G20" s="84">
        <v>0</v>
      </c>
      <c r="H20" s="72"/>
    </row>
    <row r="21" spans="1:8" ht="24.75" customHeight="1">
      <c r="A21" s="64" t="s">
        <v>207</v>
      </c>
      <c r="B21" s="44" t="s">
        <v>13</v>
      </c>
      <c r="C21" s="44" t="s">
        <v>9</v>
      </c>
      <c r="D21" s="44" t="s">
        <v>6</v>
      </c>
      <c r="E21" s="84">
        <f>SUM('Приложение 3'!G123)</f>
        <v>80</v>
      </c>
      <c r="F21" s="84">
        <f>SUM('Приложение 3'!H123)</f>
        <v>80</v>
      </c>
      <c r="G21" s="84">
        <f>SUM(F21/E21)*100</f>
        <v>100</v>
      </c>
      <c r="H21" s="72"/>
    </row>
    <row r="22" spans="1:8" ht="35.25" customHeight="1">
      <c r="A22" s="64" t="s">
        <v>268</v>
      </c>
      <c r="B22" s="44" t="s">
        <v>13</v>
      </c>
      <c r="C22" s="44" t="s">
        <v>9</v>
      </c>
      <c r="D22" s="44" t="s">
        <v>12</v>
      </c>
      <c r="E22" s="84">
        <f>SUM('Приложение 3'!G122)</f>
        <v>0</v>
      </c>
      <c r="F22" s="84">
        <f>SUM('Приложение 3'!H122)</f>
        <v>0</v>
      </c>
      <c r="G22" s="84">
        <v>0</v>
      </c>
      <c r="H22" s="72"/>
    </row>
    <row r="23" spans="1:8" ht="38.25" customHeight="1">
      <c r="A23" s="57" t="str">
        <f>'Приложение 3'!A151</f>
        <v>Муниципальная программа "Охрана окружающей среды Алексеевского муниципального района на 2019-2023 годы"</v>
      </c>
      <c r="B23" s="85" t="s">
        <v>15</v>
      </c>
      <c r="C23" s="85" t="s">
        <v>9</v>
      </c>
      <c r="D23" s="85" t="s">
        <v>193</v>
      </c>
      <c r="E23" s="86">
        <f>SUM('Приложение 3'!G151)</f>
        <v>264.44999999999993</v>
      </c>
      <c r="F23" s="86">
        <f>SUM('Приложение 3'!H151)</f>
        <v>264.44999999999993</v>
      </c>
      <c r="G23" s="86">
        <f>SUM(F23/E23)*100</f>
        <v>100</v>
      </c>
      <c r="H23" s="77"/>
    </row>
    <row r="24" spans="1:8" ht="24">
      <c r="A24" s="64" t="s">
        <v>300</v>
      </c>
      <c r="B24" s="44" t="s">
        <v>15</v>
      </c>
      <c r="C24" s="44" t="s">
        <v>9</v>
      </c>
      <c r="D24" s="44" t="s">
        <v>2</v>
      </c>
      <c r="E24" s="84">
        <f>SUM('Приложение 3'!G151)-30</f>
        <v>234.44999999999993</v>
      </c>
      <c r="F24" s="84">
        <f>SUM('Приложение 3'!H151)-30</f>
        <v>234.44999999999993</v>
      </c>
      <c r="G24" s="84">
        <f>SUM(F24/E24)*100</f>
        <v>100</v>
      </c>
      <c r="H24" s="83">
        <f>SUM(E24:E28)</f>
        <v>264.29999999999995</v>
      </c>
    </row>
    <row r="25" spans="1:8" ht="12.75" hidden="1">
      <c r="A25" s="57"/>
      <c r="B25" s="85" t="s">
        <v>240</v>
      </c>
      <c r="C25" s="85" t="s">
        <v>9</v>
      </c>
      <c r="D25" s="85" t="s">
        <v>193</v>
      </c>
      <c r="E25" s="86">
        <f>SUM('Приложение 3'!G238)</f>
        <v>0</v>
      </c>
      <c r="F25" s="86">
        <f>SUM('Приложение 3'!H238)</f>
        <v>0</v>
      </c>
      <c r="G25" s="86" t="e">
        <f>SUM('Приложение 3'!I238)</f>
        <v>#DIV/0!</v>
      </c>
      <c r="H25" s="77"/>
    </row>
    <row r="26" spans="1:8" ht="12.75" hidden="1">
      <c r="A26" s="64"/>
      <c r="B26" s="44" t="s">
        <v>240</v>
      </c>
      <c r="C26" s="44" t="s">
        <v>9</v>
      </c>
      <c r="D26" s="44" t="s">
        <v>2</v>
      </c>
      <c r="E26" s="84">
        <v>0</v>
      </c>
      <c r="F26" s="84">
        <f>SUM('Приложение 3'!H238)</f>
        <v>0</v>
      </c>
      <c r="G26" s="84" t="e">
        <f>SUM('Приложение 3'!I238)</f>
        <v>#DIV/0!</v>
      </c>
      <c r="H26" s="83"/>
    </row>
    <row r="27" spans="1:8" ht="13.5" customHeight="1" hidden="1">
      <c r="A27" s="64"/>
      <c r="B27" s="44" t="s">
        <v>240</v>
      </c>
      <c r="C27" s="44" t="s">
        <v>9</v>
      </c>
      <c r="D27" s="44" t="s">
        <v>6</v>
      </c>
      <c r="E27" s="84">
        <f>SUM('Приложение 3'!G239+'Приложение 3'!G241)</f>
        <v>0</v>
      </c>
      <c r="F27" s="84">
        <f>SUM('Приложение 3'!H239+'Приложение 3'!H241)</f>
        <v>0</v>
      </c>
      <c r="G27" s="84" t="e">
        <f>SUM('Приложение 3'!I239+'Приложение 3'!I241)</f>
        <v>#DIV/0!</v>
      </c>
      <c r="H27" s="83"/>
    </row>
    <row r="28" spans="1:8" ht="24.75" customHeight="1">
      <c r="A28" s="64" t="s">
        <v>326</v>
      </c>
      <c r="B28" s="44" t="s">
        <v>15</v>
      </c>
      <c r="C28" s="44" t="s">
        <v>9</v>
      </c>
      <c r="D28" s="44" t="s">
        <v>6</v>
      </c>
      <c r="E28" s="84">
        <f>30-0.15</f>
        <v>29.85</v>
      </c>
      <c r="F28" s="84">
        <f>30-0.15</f>
        <v>29.85</v>
      </c>
      <c r="G28" s="84">
        <f aca="true" t="shared" si="1" ref="G28:G35">SUM(F28/E28)*100</f>
        <v>100</v>
      </c>
      <c r="H28" s="83"/>
    </row>
    <row r="29" spans="1:8" ht="62.25" customHeight="1">
      <c r="A29" s="57" t="str">
        <f>'Приложение 3'!A209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9" s="85" t="s">
        <v>26</v>
      </c>
      <c r="C29" s="85" t="s">
        <v>9</v>
      </c>
      <c r="D29" s="85" t="s">
        <v>193</v>
      </c>
      <c r="E29" s="86">
        <f>SUM('Приложение 3'!G209)</f>
        <v>200</v>
      </c>
      <c r="F29" s="86">
        <f>SUM('Приложение 3'!H209)</f>
        <v>200</v>
      </c>
      <c r="G29" s="86">
        <f t="shared" si="1"/>
        <v>100</v>
      </c>
      <c r="H29" s="71"/>
    </row>
    <row r="30" spans="1:8" ht="27.75" customHeight="1">
      <c r="A30" s="57" t="str">
        <f>'Приложение 3'!A210</f>
        <v>Подпрограмма "Комплексные меры по противодействию наркомании"</v>
      </c>
      <c r="B30" s="85" t="s">
        <v>26</v>
      </c>
      <c r="C30" s="85" t="s">
        <v>196</v>
      </c>
      <c r="D30" s="85" t="s">
        <v>193</v>
      </c>
      <c r="E30" s="86">
        <f>SUM('Приложение 3'!G210)</f>
        <v>50</v>
      </c>
      <c r="F30" s="86">
        <f>SUM('Приложение 3'!H210)</f>
        <v>50</v>
      </c>
      <c r="G30" s="86">
        <f t="shared" si="1"/>
        <v>100</v>
      </c>
      <c r="H30" s="71"/>
    </row>
    <row r="31" spans="1:8" ht="37.5" customHeight="1">
      <c r="A31" s="64" t="s">
        <v>267</v>
      </c>
      <c r="B31" s="44" t="s">
        <v>26</v>
      </c>
      <c r="C31" s="44" t="s">
        <v>196</v>
      </c>
      <c r="D31" s="44" t="s">
        <v>2</v>
      </c>
      <c r="E31" s="84">
        <f>SUM('Приложение 3'!G211)</f>
        <v>50</v>
      </c>
      <c r="F31" s="84">
        <f>SUM('Приложение 3'!H211)</f>
        <v>50</v>
      </c>
      <c r="G31" s="84">
        <f t="shared" si="1"/>
        <v>100</v>
      </c>
      <c r="H31" s="72"/>
    </row>
    <row r="32" spans="1:8" ht="29.25" customHeight="1" outlineLevel="1">
      <c r="A32" s="57" t="str">
        <f>'Приложение 3'!A212</f>
        <v>Подпрограмма "Реализация мероприятий молодежной политики и социальной адаптации молодежи "</v>
      </c>
      <c r="B32" s="85" t="s">
        <v>26</v>
      </c>
      <c r="C32" s="85" t="s">
        <v>197</v>
      </c>
      <c r="D32" s="85" t="s">
        <v>193</v>
      </c>
      <c r="E32" s="86">
        <f>SUM('Приложение 3'!G212)</f>
        <v>100</v>
      </c>
      <c r="F32" s="86">
        <f>SUM('Приложение 3'!H212)</f>
        <v>100</v>
      </c>
      <c r="G32" s="86">
        <f t="shared" si="1"/>
        <v>100</v>
      </c>
      <c r="H32" s="71"/>
    </row>
    <row r="33" spans="1:8" ht="30" customHeight="1" outlineLevel="5">
      <c r="A33" s="64" t="s">
        <v>208</v>
      </c>
      <c r="B33" s="44" t="s">
        <v>26</v>
      </c>
      <c r="C33" s="44" t="s">
        <v>197</v>
      </c>
      <c r="D33" s="44" t="s">
        <v>2</v>
      </c>
      <c r="E33" s="84">
        <f>SUM('Приложение 3'!G213)</f>
        <v>100</v>
      </c>
      <c r="F33" s="84">
        <f>SUM('Приложение 3'!H213)</f>
        <v>100</v>
      </c>
      <c r="G33" s="84">
        <f t="shared" si="1"/>
        <v>100</v>
      </c>
      <c r="H33" s="72"/>
    </row>
    <row r="34" spans="1:8" ht="42.75" customHeight="1" outlineLevel="5">
      <c r="A34" s="57" t="str">
        <f>'Приложение 3'!A214</f>
        <v>Подпрограмма " Профилактика безнадзорности, правонарушений и неблагополучия несовершеннолетних"</v>
      </c>
      <c r="B34" s="85" t="s">
        <v>26</v>
      </c>
      <c r="C34" s="85" t="s">
        <v>198</v>
      </c>
      <c r="D34" s="85" t="s">
        <v>193</v>
      </c>
      <c r="E34" s="86">
        <f>SUM('Приложение 3'!G214)</f>
        <v>50</v>
      </c>
      <c r="F34" s="86">
        <f>SUM('Приложение 3'!H214)</f>
        <v>50</v>
      </c>
      <c r="G34" s="86">
        <f t="shared" si="1"/>
        <v>100</v>
      </c>
      <c r="H34" s="71"/>
    </row>
    <row r="35" spans="1:8" s="17" customFormat="1" ht="38.25" customHeight="1" outlineLevel="2">
      <c r="A35" s="64" t="s">
        <v>260</v>
      </c>
      <c r="B35" s="44" t="s">
        <v>26</v>
      </c>
      <c r="C35" s="45">
        <v>3</v>
      </c>
      <c r="D35" s="44" t="s">
        <v>2</v>
      </c>
      <c r="E35" s="84">
        <f>SUM('Приложение 3'!G215)</f>
        <v>50</v>
      </c>
      <c r="F35" s="84">
        <f>SUM('Приложение 3'!H215)</f>
        <v>50</v>
      </c>
      <c r="G35" s="84">
        <f t="shared" si="1"/>
        <v>100</v>
      </c>
      <c r="H35" s="83"/>
    </row>
    <row r="36" spans="1:8" s="17" customFormat="1" ht="33.75" customHeight="1" outlineLevel="2">
      <c r="A36" s="64" t="s">
        <v>261</v>
      </c>
      <c r="B36" s="44" t="s">
        <v>26</v>
      </c>
      <c r="C36" s="45">
        <v>3</v>
      </c>
      <c r="D36" s="44" t="s">
        <v>6</v>
      </c>
      <c r="E36" s="84">
        <f>SUM('Приложение 3'!G216)</f>
        <v>0</v>
      </c>
      <c r="F36" s="84">
        <f>SUM('Приложение 3'!H216)</f>
        <v>0</v>
      </c>
      <c r="G36" s="84">
        <v>0</v>
      </c>
      <c r="H36" s="83"/>
    </row>
    <row r="37" spans="1:8" s="17" customFormat="1" ht="28.5" customHeight="1" outlineLevel="2">
      <c r="A37" s="64" t="s">
        <v>262</v>
      </c>
      <c r="B37" s="44" t="s">
        <v>26</v>
      </c>
      <c r="C37" s="45">
        <v>3</v>
      </c>
      <c r="D37" s="44" t="s">
        <v>12</v>
      </c>
      <c r="E37" s="84">
        <f>SUM('Приложение 3'!G217)</f>
        <v>0</v>
      </c>
      <c r="F37" s="84">
        <f>SUM('Приложение 3'!H217)</f>
        <v>0</v>
      </c>
      <c r="G37" s="84">
        <v>0</v>
      </c>
      <c r="H37" s="83"/>
    </row>
    <row r="38" spans="1:8" s="17" customFormat="1" ht="75" customHeight="1" outlineLevel="2">
      <c r="A38" s="57" t="str">
        <f>'Приложение 3'!A225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85" t="s">
        <v>224</v>
      </c>
      <c r="C38" s="85" t="s">
        <v>9</v>
      </c>
      <c r="D38" s="85" t="s">
        <v>193</v>
      </c>
      <c r="E38" s="86">
        <f>SUM('Приложение 3'!G225)</f>
        <v>20</v>
      </c>
      <c r="F38" s="86">
        <f>SUM('Приложение 3'!H225)</f>
        <v>20</v>
      </c>
      <c r="G38" s="86">
        <f>SUM(F38/E38)*100</f>
        <v>100</v>
      </c>
      <c r="H38" s="71"/>
    </row>
    <row r="39" spans="1:8" s="17" customFormat="1" ht="48" customHeight="1" outlineLevel="2">
      <c r="A39" s="64" t="s">
        <v>226</v>
      </c>
      <c r="B39" s="44" t="s">
        <v>224</v>
      </c>
      <c r="C39" s="45">
        <v>0</v>
      </c>
      <c r="D39" s="44" t="s">
        <v>2</v>
      </c>
      <c r="E39" s="84">
        <f>SUM('Приложение 3'!G226)</f>
        <v>20</v>
      </c>
      <c r="F39" s="84">
        <f>SUM('Приложение 3'!H226)</f>
        <v>20</v>
      </c>
      <c r="G39" s="84">
        <f>SUM(F39/E39)*100</f>
        <v>100</v>
      </c>
      <c r="H39" s="72"/>
    </row>
    <row r="40" spans="1:8" s="17" customFormat="1" ht="40.5" customHeight="1" outlineLevel="2">
      <c r="A40" s="57" t="str">
        <f>'Приложение 3'!A124</f>
        <v>Муниципальная программа "Градостроительная политика на территории Алексеевского муниципального района на 2019–2021 годы "</v>
      </c>
      <c r="B40" s="85" t="s">
        <v>307</v>
      </c>
      <c r="C40" s="87">
        <v>0</v>
      </c>
      <c r="D40" s="85" t="s">
        <v>193</v>
      </c>
      <c r="E40" s="86">
        <f>SUM('Приложение 3'!G124)</f>
        <v>522.45915</v>
      </c>
      <c r="F40" s="86">
        <f>SUM('Приложение 3'!H124)</f>
        <v>522.45915</v>
      </c>
      <c r="G40" s="86">
        <f>SUM(F40/E40)*100</f>
        <v>100</v>
      </c>
      <c r="H40" s="72"/>
    </row>
    <row r="41" spans="1:8" s="17" customFormat="1" ht="38.25" customHeight="1" outlineLevel="2">
      <c r="A41" s="64" t="s">
        <v>310</v>
      </c>
      <c r="B41" s="44" t="s">
        <v>307</v>
      </c>
      <c r="C41" s="45">
        <v>0</v>
      </c>
      <c r="D41" s="44" t="s">
        <v>2</v>
      </c>
      <c r="E41" s="84">
        <f>SUM('Приложение 3'!G125)</f>
        <v>522.45915</v>
      </c>
      <c r="F41" s="84">
        <f>SUM('Приложение 3'!H125)</f>
        <v>522.45915</v>
      </c>
      <c r="G41" s="84">
        <f>SUM(F41/E41)*100</f>
        <v>100</v>
      </c>
      <c r="H41" s="72"/>
    </row>
    <row r="42" spans="1:8" s="17" customFormat="1" ht="48" customHeight="1" outlineLevel="2">
      <c r="A42" s="64" t="s">
        <v>309</v>
      </c>
      <c r="B42" s="44" t="s">
        <v>307</v>
      </c>
      <c r="C42" s="45">
        <v>0</v>
      </c>
      <c r="D42" s="44" t="s">
        <v>6</v>
      </c>
      <c r="E42" s="84">
        <f>SUM('Приложение 3'!G126)</f>
        <v>0</v>
      </c>
      <c r="F42" s="84">
        <f>SUM('Приложение 3'!H126)</f>
        <v>0</v>
      </c>
      <c r="G42" s="84">
        <v>0</v>
      </c>
      <c r="H42" s="72"/>
    </row>
    <row r="43" spans="1:8" s="17" customFormat="1" ht="36.75" customHeight="1" outlineLevel="2">
      <c r="A43" s="57" t="str">
        <f>'Приложение 3'!A282</f>
        <v>Муниципальная программа "Молодой семье – доступное жилье на территории Алексеевского муниципального района на 2019-2020 годы"</v>
      </c>
      <c r="B43" s="85" t="s">
        <v>285</v>
      </c>
      <c r="C43" s="85" t="s">
        <v>9</v>
      </c>
      <c r="D43" s="85" t="s">
        <v>193</v>
      </c>
      <c r="E43" s="86">
        <f>SUM('Приложение 3'!G282)</f>
        <v>193.851</v>
      </c>
      <c r="F43" s="86">
        <f>SUM('Приложение 3'!H282)</f>
        <v>193.851</v>
      </c>
      <c r="G43" s="86">
        <f aca="true" t="shared" si="2" ref="G43:G67">SUM(F43/E43)*100</f>
        <v>100</v>
      </c>
      <c r="H43" s="71"/>
    </row>
    <row r="44" spans="1:8" ht="34.5" customHeight="1" outlineLevel="3">
      <c r="A44" s="56" t="s">
        <v>286</v>
      </c>
      <c r="B44" s="44" t="s">
        <v>285</v>
      </c>
      <c r="C44" s="44" t="s">
        <v>9</v>
      </c>
      <c r="D44" s="44" t="s">
        <v>2</v>
      </c>
      <c r="E44" s="84">
        <f>SUM('Приложение 3'!G283)</f>
        <v>193.851</v>
      </c>
      <c r="F44" s="84">
        <f>SUM('Приложение 3'!H283)</f>
        <v>193.851</v>
      </c>
      <c r="G44" s="84">
        <f t="shared" si="2"/>
        <v>100</v>
      </c>
      <c r="H44" s="72"/>
    </row>
    <row r="45" spans="1:8" ht="35.25" customHeight="1">
      <c r="A45" s="57" t="str">
        <f>'Приложение 3'!A243</f>
        <v>Муниципальная программа "Развитие народных художественных промыслов Алексеевского муниципального района на 2019-2023 годы"</v>
      </c>
      <c r="B45" s="85" t="s">
        <v>5</v>
      </c>
      <c r="C45" s="85" t="s">
        <v>9</v>
      </c>
      <c r="D45" s="85" t="s">
        <v>193</v>
      </c>
      <c r="E45" s="86">
        <f>SUM('Приложение 3'!G243)</f>
        <v>50</v>
      </c>
      <c r="F45" s="86">
        <f>SUM('Приложение 3'!H243)</f>
        <v>50</v>
      </c>
      <c r="G45" s="86">
        <f t="shared" si="2"/>
        <v>100</v>
      </c>
      <c r="H45" s="71"/>
    </row>
    <row r="46" spans="1:8" ht="36" customHeight="1">
      <c r="A46" s="64" t="s">
        <v>209</v>
      </c>
      <c r="B46" s="44" t="s">
        <v>5</v>
      </c>
      <c r="C46" s="44" t="s">
        <v>9</v>
      </c>
      <c r="D46" s="44" t="s">
        <v>2</v>
      </c>
      <c r="E46" s="84">
        <f>SUM('Приложение 3'!G244)</f>
        <v>50</v>
      </c>
      <c r="F46" s="84">
        <f>SUM('Приложение 3'!H244)</f>
        <v>50</v>
      </c>
      <c r="G46" s="84">
        <f t="shared" si="2"/>
        <v>100</v>
      </c>
      <c r="H46" s="72"/>
    </row>
    <row r="47" spans="1:8" ht="39" customHeight="1">
      <c r="A47" s="57" t="str">
        <f>'Приложение 3'!A245</f>
        <v>Муниципальная программа "О поддержке деятельности казачьих обществ Алексеевского муниципального района на 2019-2023 годы"</v>
      </c>
      <c r="B47" s="44" t="s">
        <v>4</v>
      </c>
      <c r="C47" s="44" t="s">
        <v>9</v>
      </c>
      <c r="D47" s="44" t="s">
        <v>193</v>
      </c>
      <c r="E47" s="86">
        <f>SUM('Приложение 3'!G245)</f>
        <v>100</v>
      </c>
      <c r="F47" s="86">
        <f>SUM('Приложение 3'!H245)</f>
        <v>100</v>
      </c>
      <c r="G47" s="86">
        <f t="shared" si="2"/>
        <v>100</v>
      </c>
      <c r="H47" s="71"/>
    </row>
    <row r="48" spans="1:8" ht="27" customHeight="1">
      <c r="A48" s="64" t="s">
        <v>210</v>
      </c>
      <c r="B48" s="44" t="s">
        <v>4</v>
      </c>
      <c r="C48" s="44">
        <f>'Приложение 3'!E299</f>
        <v>0</v>
      </c>
      <c r="D48" s="44" t="s">
        <v>2</v>
      </c>
      <c r="E48" s="84">
        <f>SUM('Приложение 3'!G246)</f>
        <v>100</v>
      </c>
      <c r="F48" s="84">
        <f>SUM('Приложение 3'!H246)</f>
        <v>100</v>
      </c>
      <c r="G48" s="84">
        <f t="shared" si="2"/>
        <v>100</v>
      </c>
      <c r="H48" s="72"/>
    </row>
    <row r="49" spans="1:8" ht="74.25" customHeight="1">
      <c r="A49" s="57" t="str">
        <f>'Приложение 3'!A270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49" s="85" t="s">
        <v>7</v>
      </c>
      <c r="C49" s="85">
        <f>'Приложение 3'!E112</f>
        <v>0</v>
      </c>
      <c r="D49" s="85" t="s">
        <v>193</v>
      </c>
      <c r="E49" s="86">
        <f>SUM('Приложение 3'!G270)</f>
        <v>564.043</v>
      </c>
      <c r="F49" s="86">
        <f>SUM('Приложение 3'!H270)</f>
        <v>564.043</v>
      </c>
      <c r="G49" s="86">
        <f t="shared" si="2"/>
        <v>100</v>
      </c>
      <c r="H49" s="71"/>
    </row>
    <row r="50" spans="1:8" ht="72" customHeight="1">
      <c r="A50" s="64" t="s">
        <v>211</v>
      </c>
      <c r="B50" s="44" t="s">
        <v>7</v>
      </c>
      <c r="C50" s="44" t="s">
        <v>9</v>
      </c>
      <c r="D50" s="44" t="s">
        <v>2</v>
      </c>
      <c r="E50" s="84">
        <f>SUM('Приложение 3'!G271)</f>
        <v>564.043</v>
      </c>
      <c r="F50" s="84">
        <f>SUM('Приложение 3'!H271)</f>
        <v>564.043</v>
      </c>
      <c r="G50" s="84">
        <f t="shared" si="2"/>
        <v>100</v>
      </c>
      <c r="H50" s="72"/>
    </row>
    <row r="51" spans="1:8" ht="24" customHeight="1">
      <c r="A51" s="57" t="str">
        <f>'Приложение 3'!A68</f>
        <v>Муниципальная программа "Маршрут Победы на 2019-2023 годы"</v>
      </c>
      <c r="B51" s="85" t="s">
        <v>10</v>
      </c>
      <c r="C51" s="85" t="s">
        <v>9</v>
      </c>
      <c r="D51" s="85" t="s">
        <v>193</v>
      </c>
      <c r="E51" s="86">
        <f>SUM('Приложение 3'!G68)</f>
        <v>100</v>
      </c>
      <c r="F51" s="86">
        <f>SUM('Приложение 3'!H68)</f>
        <v>100</v>
      </c>
      <c r="G51" s="86">
        <f t="shared" si="2"/>
        <v>100</v>
      </c>
      <c r="H51" s="71"/>
    </row>
    <row r="52" spans="1:8" ht="50.25" customHeight="1">
      <c r="A52" s="64" t="s">
        <v>301</v>
      </c>
      <c r="B52" s="44" t="s">
        <v>10</v>
      </c>
      <c r="C52" s="44" t="s">
        <v>9</v>
      </c>
      <c r="D52" s="44" t="s">
        <v>2</v>
      </c>
      <c r="E52" s="84">
        <f>SUM('Приложение 3'!G69)</f>
        <v>100</v>
      </c>
      <c r="F52" s="84">
        <f>SUM('Приложение 3'!H69)</f>
        <v>100</v>
      </c>
      <c r="G52" s="84">
        <f t="shared" si="2"/>
        <v>100</v>
      </c>
      <c r="H52" s="72"/>
    </row>
    <row r="53" spans="1:8" ht="40.5" customHeight="1">
      <c r="A53" s="63" t="str">
        <f>'Приложение 3'!A298</f>
        <v>Муниципальная программа "Развитие физической культуры и спорта в Алексеевском муниципальном районе на 2019-2023 годы"</v>
      </c>
      <c r="B53" s="85" t="s">
        <v>18</v>
      </c>
      <c r="C53" s="85" t="s">
        <v>9</v>
      </c>
      <c r="D53" s="85" t="s">
        <v>193</v>
      </c>
      <c r="E53" s="86">
        <f>SUM(E54:E54)</f>
        <v>600</v>
      </c>
      <c r="F53" s="86">
        <f>SUM(F54:F54)</f>
        <v>600</v>
      </c>
      <c r="G53" s="86">
        <f t="shared" si="2"/>
        <v>100</v>
      </c>
      <c r="H53" s="71"/>
    </row>
    <row r="54" spans="1:8" ht="51.75" customHeight="1">
      <c r="A54" s="64" t="s">
        <v>212</v>
      </c>
      <c r="B54" s="44" t="s">
        <v>18</v>
      </c>
      <c r="C54" s="44" t="s">
        <v>9</v>
      </c>
      <c r="D54" s="44" t="s">
        <v>2</v>
      </c>
      <c r="E54" s="84">
        <f>SUM('Приложение 3'!G299)</f>
        <v>600</v>
      </c>
      <c r="F54" s="84">
        <f>SUM('Приложение 3'!H299)</f>
        <v>600</v>
      </c>
      <c r="G54" s="84">
        <f t="shared" si="2"/>
        <v>100</v>
      </c>
      <c r="H54" s="72"/>
    </row>
    <row r="55" spans="1:8" ht="51" customHeight="1">
      <c r="A55" s="63" t="str">
        <f>'Приложение 3'!A111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55" s="85" t="s">
        <v>160</v>
      </c>
      <c r="C55" s="85" t="s">
        <v>9</v>
      </c>
      <c r="D55" s="85" t="s">
        <v>193</v>
      </c>
      <c r="E55" s="86">
        <f>SUM('Приложение 3'!G111)</f>
        <v>27219.998609999995</v>
      </c>
      <c r="F55" s="86">
        <f>SUM('Приложение 3'!H111)</f>
        <v>17005.81208</v>
      </c>
      <c r="G55" s="86">
        <f t="shared" si="2"/>
        <v>62.47543331524072</v>
      </c>
      <c r="H55" s="71"/>
    </row>
    <row r="56" spans="1:8" ht="39.75" customHeight="1">
      <c r="A56" s="64" t="s">
        <v>263</v>
      </c>
      <c r="B56" s="44" t="s">
        <v>160</v>
      </c>
      <c r="C56" s="44" t="s">
        <v>9</v>
      </c>
      <c r="D56" s="44" t="s">
        <v>2</v>
      </c>
      <c r="E56" s="84">
        <f>SUM('Приложение 3'!G111)</f>
        <v>27219.998609999995</v>
      </c>
      <c r="F56" s="84">
        <f>SUM('Приложение 3'!H111)</f>
        <v>17005.81208</v>
      </c>
      <c r="G56" s="84">
        <f t="shared" si="2"/>
        <v>62.47543331524072</v>
      </c>
      <c r="H56" s="72"/>
    </row>
    <row r="57" spans="1:8" ht="54" customHeight="1">
      <c r="A57" s="63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57" s="85" t="s">
        <v>162</v>
      </c>
      <c r="C57" s="85" t="s">
        <v>9</v>
      </c>
      <c r="D57" s="85" t="s">
        <v>193</v>
      </c>
      <c r="E57" s="86">
        <f>SUM(E58+E60)</f>
        <v>92.13800000000003</v>
      </c>
      <c r="F57" s="86">
        <f>SUM(F58+F60)</f>
        <v>92.13800000000003</v>
      </c>
      <c r="G57" s="86">
        <f t="shared" si="2"/>
        <v>100</v>
      </c>
      <c r="H57" s="71"/>
    </row>
    <row r="58" spans="1:8" ht="18" customHeight="1">
      <c r="A58" s="63" t="str">
        <f>'Приложение 3'!A71</f>
        <v>Подпрограмма "Профилактика правонарушений"</v>
      </c>
      <c r="B58" s="85" t="s">
        <v>162</v>
      </c>
      <c r="C58" s="85" t="s">
        <v>196</v>
      </c>
      <c r="D58" s="85" t="s">
        <v>193</v>
      </c>
      <c r="E58" s="86">
        <f>SUM('Приложение 3'!G71)</f>
        <v>39.5</v>
      </c>
      <c r="F58" s="86">
        <f>SUM('Приложение 3'!H71)</f>
        <v>39.5</v>
      </c>
      <c r="G58" s="86">
        <f t="shared" si="2"/>
        <v>100</v>
      </c>
      <c r="H58" s="71"/>
    </row>
    <row r="59" spans="1:8" ht="30.75" customHeight="1">
      <c r="A59" s="64" t="s">
        <v>311</v>
      </c>
      <c r="B59" s="44" t="s">
        <v>162</v>
      </c>
      <c r="C59" s="44" t="s">
        <v>196</v>
      </c>
      <c r="D59" s="44" t="s">
        <v>2</v>
      </c>
      <c r="E59" s="84">
        <f>SUM('Приложение 3'!G72)</f>
        <v>39.5</v>
      </c>
      <c r="F59" s="84">
        <f>SUM('Приложение 3'!H72)</f>
        <v>39.5</v>
      </c>
      <c r="G59" s="84">
        <f t="shared" si="2"/>
        <v>100</v>
      </c>
      <c r="H59" s="72"/>
    </row>
    <row r="60" spans="1:8" ht="24.75" customHeight="1">
      <c r="A60" s="63" t="str">
        <f>'Приложение 3'!A73</f>
        <v>Подпрограмма "Формирование законопослушного поведения участников дорожного движения"</v>
      </c>
      <c r="B60" s="85" t="s">
        <v>162</v>
      </c>
      <c r="C60" s="85" t="s">
        <v>197</v>
      </c>
      <c r="D60" s="85" t="s">
        <v>193</v>
      </c>
      <c r="E60" s="86">
        <f>SUM('Приложение 3'!G73+'Приложение 3'!G117)</f>
        <v>52.638000000000034</v>
      </c>
      <c r="F60" s="86">
        <f>SUM('Приложение 3'!H73+'Приложение 3'!H117)</f>
        <v>52.638000000000034</v>
      </c>
      <c r="G60" s="86">
        <f t="shared" si="2"/>
        <v>100</v>
      </c>
      <c r="H60" s="72"/>
    </row>
    <row r="61" spans="1:8" ht="27" customHeight="1">
      <c r="A61" s="64" t="s">
        <v>304</v>
      </c>
      <c r="B61" s="44" t="s">
        <v>162</v>
      </c>
      <c r="C61" s="44" t="s">
        <v>197</v>
      </c>
      <c r="D61" s="44" t="s">
        <v>2</v>
      </c>
      <c r="E61" s="84">
        <f>SUM('Приложение 3'!G74+'Приложение 3'!G118)</f>
        <v>52.638000000000034</v>
      </c>
      <c r="F61" s="84">
        <f>SUM('Приложение 3'!H74+'Приложение 3'!H118)</f>
        <v>52.638000000000034</v>
      </c>
      <c r="G61" s="84">
        <f t="shared" si="2"/>
        <v>100</v>
      </c>
      <c r="H61" s="72"/>
    </row>
    <row r="62" spans="1:8" ht="39.75" customHeight="1">
      <c r="A62" s="63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2" s="85" t="s">
        <v>243</v>
      </c>
      <c r="C62" s="85" t="s">
        <v>9</v>
      </c>
      <c r="D62" s="85" t="s">
        <v>193</v>
      </c>
      <c r="E62" s="86">
        <f>SUM('Приложение 3'!G75)</f>
        <v>8</v>
      </c>
      <c r="F62" s="86">
        <f>SUM('Приложение 3'!H75)</f>
        <v>8</v>
      </c>
      <c r="G62" s="86">
        <f t="shared" si="2"/>
        <v>100</v>
      </c>
      <c r="H62" s="71"/>
    </row>
    <row r="63" spans="1:8" ht="50.25" customHeight="1">
      <c r="A63" s="65" t="s">
        <v>242</v>
      </c>
      <c r="B63" s="44" t="s">
        <v>243</v>
      </c>
      <c r="C63" s="44" t="s">
        <v>9</v>
      </c>
      <c r="D63" s="44" t="s">
        <v>2</v>
      </c>
      <c r="E63" s="84">
        <f>SUM('Приложение 3'!G76)</f>
        <v>8</v>
      </c>
      <c r="F63" s="84">
        <f>SUM('Приложение 3'!H76)</f>
        <v>8</v>
      </c>
      <c r="G63" s="84">
        <f t="shared" si="2"/>
        <v>100</v>
      </c>
      <c r="H63" s="72"/>
    </row>
    <row r="64" spans="1:8" ht="108" customHeight="1">
      <c r="A64" s="63" t="str">
        <f>'Приложение 3'!A162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4" s="85" t="s">
        <v>223</v>
      </c>
      <c r="C64" s="85" t="s">
        <v>9</v>
      </c>
      <c r="D64" s="85" t="s">
        <v>193</v>
      </c>
      <c r="E64" s="86">
        <f>SUM(E65)</f>
        <v>268.8</v>
      </c>
      <c r="F64" s="86">
        <f>SUM(F65)</f>
        <v>268.8</v>
      </c>
      <c r="G64" s="86">
        <f t="shared" si="2"/>
        <v>100</v>
      </c>
      <c r="H64" s="71"/>
    </row>
    <row r="65" spans="1:8" ht="73.5" customHeight="1">
      <c r="A65" s="64" t="s">
        <v>264</v>
      </c>
      <c r="B65" s="44" t="s">
        <v>223</v>
      </c>
      <c r="C65" s="44" t="s">
        <v>9</v>
      </c>
      <c r="D65" s="44" t="s">
        <v>2</v>
      </c>
      <c r="E65" s="84">
        <f>SUM('Приложение 3'!G163+'Приложение 3'!G184)</f>
        <v>268.8</v>
      </c>
      <c r="F65" s="84">
        <f>SUM('Приложение 3'!H163+'Приложение 3'!H184)</f>
        <v>268.8</v>
      </c>
      <c r="G65" s="84">
        <f t="shared" si="2"/>
        <v>100</v>
      </c>
      <c r="H65" s="72"/>
    </row>
    <row r="66" spans="1:8" ht="40.5" customHeight="1">
      <c r="A66" s="63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66" s="85" t="s">
        <v>200</v>
      </c>
      <c r="C66" s="85">
        <f>'Приложение 3'!E137</f>
        <v>0</v>
      </c>
      <c r="D66" s="85" t="s">
        <v>193</v>
      </c>
      <c r="E66" s="86">
        <f>SUM('Приложение 3'!G77)</f>
        <v>20</v>
      </c>
      <c r="F66" s="86">
        <f>SUM('Приложение 3'!H77)</f>
        <v>20</v>
      </c>
      <c r="G66" s="86">
        <f t="shared" si="2"/>
        <v>100</v>
      </c>
      <c r="H66" s="71"/>
    </row>
    <row r="67" spans="1:8" ht="26.25" customHeight="1">
      <c r="A67" s="64" t="s">
        <v>213</v>
      </c>
      <c r="B67" s="44" t="s">
        <v>200</v>
      </c>
      <c r="C67" s="44" t="s">
        <v>9</v>
      </c>
      <c r="D67" s="44" t="s">
        <v>2</v>
      </c>
      <c r="E67" s="84">
        <f>SUM('Приложение 3'!G78)</f>
        <v>20</v>
      </c>
      <c r="F67" s="84">
        <f>SUM('Приложение 3'!H78)</f>
        <v>20</v>
      </c>
      <c r="G67" s="84">
        <f t="shared" si="2"/>
        <v>100</v>
      </c>
      <c r="H67" s="72"/>
    </row>
    <row r="68" spans="1:8" ht="40.5" customHeight="1">
      <c r="A68" s="63" t="str">
        <f>'Приложение 3'!A142</f>
        <v>Муниципальная программа "Устойчивое развитие сельских территорий Алексеевского муниципального района на 2014-2017 годы и на период до 2020 года"</v>
      </c>
      <c r="B68" s="85" t="s">
        <v>202</v>
      </c>
      <c r="C68" s="85" t="s">
        <v>9</v>
      </c>
      <c r="D68" s="85" t="s">
        <v>193</v>
      </c>
      <c r="E68" s="86">
        <f>SUM('Приложение 3'!G142)</f>
        <v>0</v>
      </c>
      <c r="F68" s="86">
        <f>SUM('Приложение 3'!H142)</f>
        <v>0</v>
      </c>
      <c r="G68" s="86">
        <v>0</v>
      </c>
      <c r="H68" s="71"/>
    </row>
    <row r="69" spans="1:8" ht="27.75" customHeight="1">
      <c r="A69" s="64" t="s">
        <v>214</v>
      </c>
      <c r="B69" s="44" t="s">
        <v>202</v>
      </c>
      <c r="C69" s="44" t="s">
        <v>9</v>
      </c>
      <c r="D69" s="44" t="s">
        <v>6</v>
      </c>
      <c r="E69" s="84">
        <f>SUM('Приложение 3'!G143)</f>
        <v>0</v>
      </c>
      <c r="F69" s="84">
        <f>SUM('Приложение 3'!H143)</f>
        <v>0</v>
      </c>
      <c r="G69" s="84">
        <v>0</v>
      </c>
      <c r="H69" s="72"/>
    </row>
    <row r="70" spans="1:9" ht="12.75">
      <c r="A70" s="56" t="s">
        <v>105</v>
      </c>
      <c r="B70" s="44"/>
      <c r="C70" s="45"/>
      <c r="D70" s="89"/>
      <c r="E70" s="86">
        <f>SUM(E9+E11+E19+E23+E29+E43+E45+E47+E49+E51+E53+E55+E57+E64+E66+E68+E38+E25+E62+E40)</f>
        <v>69610.173</v>
      </c>
      <c r="F70" s="86">
        <f>SUM(F9+F11+F19+F23+F29+F43+F45+F47+F49+F51+F53+F55+F57+F64+F66+F68+F38+F25+F62+F40)</f>
        <v>37395.98647</v>
      </c>
      <c r="G70" s="86">
        <f>SUM(F70/E70)*100</f>
        <v>53.72201340456374</v>
      </c>
      <c r="H70" s="77">
        <f>SUM(E70+'Таблица №13'!E31)</f>
        <v>345939.30697999994</v>
      </c>
      <c r="I70" s="77">
        <f>SUM(F70+'Таблица №13'!F31)</f>
        <v>308848.64671999996</v>
      </c>
    </row>
    <row r="71" ht="15">
      <c r="D71" s="18"/>
    </row>
    <row r="72" ht="15">
      <c r="D72" s="18"/>
    </row>
    <row r="73" spans="1:8" s="15" customFormat="1" ht="15">
      <c r="A73" s="7"/>
      <c r="B73" s="12"/>
      <c r="C73" s="13"/>
      <c r="D73" s="18"/>
      <c r="F73" s="2"/>
      <c r="G73" s="2"/>
      <c r="H73" s="2"/>
    </row>
    <row r="74" spans="1:8" s="15" customFormat="1" ht="15">
      <c r="A74" s="7"/>
      <c r="B74" s="12"/>
      <c r="C74" s="13"/>
      <c r="D74" s="18"/>
      <c r="F74" s="2"/>
      <c r="G74" s="2"/>
      <c r="H74" s="2"/>
    </row>
    <row r="75" ht="15">
      <c r="D75" s="18"/>
    </row>
    <row r="76" ht="15">
      <c r="D76" s="18"/>
    </row>
  </sheetData>
  <sheetProtection/>
  <mergeCells count="6">
    <mergeCell ref="C1:G1"/>
    <mergeCell ref="C2:G2"/>
    <mergeCell ref="C3:G3"/>
    <mergeCell ref="C4:G4"/>
    <mergeCell ref="E7:G7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L4" sqref="L4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9.57421875" style="15" customWidth="1"/>
    <col min="6" max="7" width="10.28125" style="2" customWidth="1"/>
    <col min="8" max="16384" width="9.140625" style="2" customWidth="1"/>
  </cols>
  <sheetData>
    <row r="1" spans="3:7" ht="16.5">
      <c r="C1" s="109" t="s">
        <v>247</v>
      </c>
      <c r="D1" s="109"/>
      <c r="E1" s="109"/>
      <c r="F1" s="109"/>
      <c r="G1" s="109"/>
    </row>
    <row r="2" spans="1:10" ht="16.5">
      <c r="A2" s="109" t="s">
        <v>331</v>
      </c>
      <c r="B2" s="109"/>
      <c r="C2" s="109"/>
      <c r="D2" s="109"/>
      <c r="E2" s="109"/>
      <c r="F2" s="109"/>
      <c r="G2" s="109"/>
      <c r="H2" s="106"/>
      <c r="I2" s="106"/>
      <c r="J2" s="106"/>
    </row>
    <row r="3" spans="1:7" ht="21.75" customHeight="1">
      <c r="A3" s="8"/>
      <c r="B3" s="1"/>
      <c r="C3" s="109" t="s">
        <v>335</v>
      </c>
      <c r="D3" s="109"/>
      <c r="E3" s="109"/>
      <c r="F3" s="109"/>
      <c r="G3" s="109"/>
    </row>
    <row r="4" spans="1:7" ht="39.75" customHeight="1">
      <c r="A4" s="115" t="s">
        <v>328</v>
      </c>
      <c r="B4" s="115"/>
      <c r="C4" s="115"/>
      <c r="D4" s="115"/>
      <c r="E4" s="115"/>
      <c r="F4" s="115"/>
      <c r="G4" s="115"/>
    </row>
    <row r="5" spans="1:5" ht="12.75" hidden="1">
      <c r="A5" s="33"/>
      <c r="B5" s="34"/>
      <c r="C5" s="35"/>
      <c r="D5" s="37"/>
      <c r="E5" s="36"/>
    </row>
    <row r="6" spans="1:7" ht="12.75">
      <c r="A6" s="33"/>
      <c r="B6" s="34"/>
      <c r="C6" s="35"/>
      <c r="D6" s="37"/>
      <c r="E6" s="117" t="s">
        <v>165</v>
      </c>
      <c r="F6" s="117"/>
      <c r="G6" s="117"/>
    </row>
    <row r="7" spans="1:7" ht="81" customHeight="1">
      <c r="A7" s="43" t="s">
        <v>1</v>
      </c>
      <c r="B7" s="47" t="s">
        <v>235</v>
      </c>
      <c r="C7" s="45" t="s">
        <v>312</v>
      </c>
      <c r="D7" s="47" t="s">
        <v>183</v>
      </c>
      <c r="E7" s="38" t="s">
        <v>317</v>
      </c>
      <c r="F7" s="38" t="s">
        <v>319</v>
      </c>
      <c r="G7" s="38" t="s">
        <v>318</v>
      </c>
    </row>
    <row r="8" spans="1:7" ht="74.25" customHeight="1" outlineLevel="5">
      <c r="A8" s="57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8" s="85" t="s">
        <v>14</v>
      </c>
      <c r="C8" s="85" t="s">
        <v>9</v>
      </c>
      <c r="D8" s="85"/>
      <c r="E8" s="86">
        <f>SUM(E9)</f>
        <v>42272.393359999995</v>
      </c>
      <c r="F8" s="86">
        <f>SUM(F9)</f>
        <v>42049.74197</v>
      </c>
      <c r="G8" s="86">
        <f aca="true" t="shared" si="0" ref="G8:G25">SUM(F8/E8)*100</f>
        <v>99.47329362663748</v>
      </c>
    </row>
    <row r="9" spans="1:7" ht="28.5" customHeight="1" outlineLevel="2">
      <c r="A9" s="56" t="str">
        <f>'Приложение 3'!A80</f>
        <v>Предоставление субсидий бюджетным, автономным учреждениям и иным некоммерческим организациям</v>
      </c>
      <c r="B9" s="44" t="s">
        <v>14</v>
      </c>
      <c r="C9" s="44" t="s">
        <v>9</v>
      </c>
      <c r="D9" s="44" t="s">
        <v>190</v>
      </c>
      <c r="E9" s="84">
        <f>SUM('Приложение 3'!G80)</f>
        <v>42272.393359999995</v>
      </c>
      <c r="F9" s="84">
        <f>SUM('Приложение 3'!H80)</f>
        <v>42049.74197</v>
      </c>
      <c r="G9" s="84">
        <f t="shared" si="0"/>
        <v>99.47329362663748</v>
      </c>
    </row>
    <row r="10" spans="1:7" ht="48" outlineLevel="1">
      <c r="A10" s="57" t="str">
        <f>'Приложение 3'!A164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0" s="85" t="str">
        <f>'Приложение 3'!D164</f>
        <v>52</v>
      </c>
      <c r="C10" s="85">
        <f>'Приложение 3'!E164</f>
        <v>0</v>
      </c>
      <c r="D10" s="85"/>
      <c r="E10" s="86">
        <f>SUM(E11)</f>
        <v>25574.45519</v>
      </c>
      <c r="F10" s="86">
        <f>SUM(F11)</f>
        <v>25132.05519</v>
      </c>
      <c r="G10" s="86">
        <f t="shared" si="0"/>
        <v>98.27014887819394</v>
      </c>
    </row>
    <row r="11" spans="1:7" ht="27.75" customHeight="1" outlineLevel="1">
      <c r="A11" s="56" t="str">
        <f>'Приложение 3'!A165</f>
        <v>Предоставление субсидий бюджетным, автономным учреждениям и иным некоммерческим организациям</v>
      </c>
      <c r="B11" s="44" t="str">
        <f>'Приложение 3'!D165</f>
        <v>52</v>
      </c>
      <c r="C11" s="44">
        <f>'Приложение 3'!E165</f>
        <v>0</v>
      </c>
      <c r="D11" s="44" t="s">
        <v>190</v>
      </c>
      <c r="E11" s="84">
        <f>SUM('Приложение 3'!G164)</f>
        <v>25574.45519</v>
      </c>
      <c r="F11" s="84">
        <f>SUM('Приложение 3'!H164)</f>
        <v>25132.05519</v>
      </c>
      <c r="G11" s="86">
        <f t="shared" si="0"/>
        <v>98.27014887819394</v>
      </c>
    </row>
    <row r="12" spans="1:7" ht="36" outlineLevel="5">
      <c r="A12" s="57" t="str">
        <f>'Приложение 3'!A185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2" s="85" t="str">
        <f>'Приложение 3'!D185</f>
        <v>53</v>
      </c>
      <c r="C12" s="85">
        <f>'Приложение 3'!E185</f>
        <v>0</v>
      </c>
      <c r="D12" s="85"/>
      <c r="E12" s="86">
        <f>SUM(E13:E16)</f>
        <v>170919.39536999995</v>
      </c>
      <c r="F12" s="86">
        <f>SUM(F13:F16)</f>
        <v>166788.01576999997</v>
      </c>
      <c r="G12" s="86">
        <f t="shared" si="0"/>
        <v>97.58284916053177</v>
      </c>
    </row>
    <row r="13" spans="1:7" ht="49.5" customHeight="1" outlineLevel="5">
      <c r="A13" s="56" t="str">
        <f>'Приложение 3'!A187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44" t="s">
        <v>20</v>
      </c>
      <c r="C13" s="44" t="s">
        <v>9</v>
      </c>
      <c r="D13" s="44" t="s">
        <v>188</v>
      </c>
      <c r="E13" s="84">
        <f>SUM('Приложение 3'!G187+'Приложение 3'!G192+'Приложение 3'!G193)</f>
        <v>8030.936369999999</v>
      </c>
      <c r="F13" s="84">
        <f>SUM('Приложение 3'!H187+'Приложение 3'!H192+'Приложение 3'!H193)</f>
        <v>7747.201259999999</v>
      </c>
      <c r="G13" s="84">
        <f t="shared" si="0"/>
        <v>96.46697350187074</v>
      </c>
    </row>
    <row r="14" spans="1:7" ht="26.25" customHeight="1" outlineLevel="5">
      <c r="A14" s="56" t="str">
        <f>'Приложение 3'!A188</f>
        <v>Закупка товаров, работ и услуг для государственных (муниципальных) нужд</v>
      </c>
      <c r="B14" s="44" t="s">
        <v>20</v>
      </c>
      <c r="C14" s="44" t="s">
        <v>9</v>
      </c>
      <c r="D14" s="44" t="s">
        <v>161</v>
      </c>
      <c r="E14" s="84">
        <f>SUM('Приложение 3'!G188+'Приложение 3'!G194+'Приложение 3'!G195)</f>
        <v>1837.0732500000001</v>
      </c>
      <c r="F14" s="84">
        <f>SUM('Приложение 3'!H188+'Приложение 3'!H194+'Приложение 3'!H195)</f>
        <v>1742.3339999999998</v>
      </c>
      <c r="G14" s="84">
        <f t="shared" si="0"/>
        <v>94.8429247445631</v>
      </c>
    </row>
    <row r="15" spans="1:7" ht="12.75" customHeight="1" outlineLevel="5">
      <c r="A15" s="56" t="str">
        <f>'Приложение 3'!A189</f>
        <v>Иные бюджетные ассигнования</v>
      </c>
      <c r="B15" s="44" t="s">
        <v>20</v>
      </c>
      <c r="C15" s="44" t="s">
        <v>9</v>
      </c>
      <c r="D15" s="44" t="s">
        <v>189</v>
      </c>
      <c r="E15" s="84">
        <f>SUM('Приложение 3'!G189)</f>
        <v>41.74757</v>
      </c>
      <c r="F15" s="84">
        <f>SUM('Приложение 3'!H189)</f>
        <v>41.74757</v>
      </c>
      <c r="G15" s="84">
        <f t="shared" si="0"/>
        <v>100</v>
      </c>
    </row>
    <row r="16" spans="1:7" ht="26.25" customHeight="1" outlineLevel="5">
      <c r="A16" s="56" t="str">
        <f>'Приложение 3'!A190</f>
        <v>Предоставление субсидий бюджетным, автономным учреждениям и иным некоммерческим организациям</v>
      </c>
      <c r="B16" s="44" t="s">
        <v>20</v>
      </c>
      <c r="C16" s="44" t="s">
        <v>9</v>
      </c>
      <c r="D16" s="44" t="s">
        <v>190</v>
      </c>
      <c r="E16" s="84">
        <f>SUM('Приложение 3'!G190+'Приложение 3'!G196+'Приложение 3'!G197+'Приложение 3'!G198+'Приложение 3'!G199+'Приложение 3'!G170)</f>
        <v>161009.63817999995</v>
      </c>
      <c r="F16" s="84">
        <f>SUM('Приложение 3'!H190+'Приложение 3'!H196+'Приложение 3'!H197+'Приложение 3'!H198+'Приложение 3'!H199+'Приложение 3'!H170)</f>
        <v>157256.73293999996</v>
      </c>
      <c r="G16" s="84">
        <f t="shared" si="0"/>
        <v>97.66914249207588</v>
      </c>
    </row>
    <row r="17" spans="1:7" ht="48" outlineLevel="3">
      <c r="A17" s="57" t="str">
        <f>'Приложение 3'!A204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17" s="85" t="str">
        <f>'Приложение 3'!D204</f>
        <v>54</v>
      </c>
      <c r="C17" s="85">
        <f>'Приложение 3'!E204</f>
        <v>0</v>
      </c>
      <c r="D17" s="85"/>
      <c r="E17" s="86">
        <f>'Приложение 3'!G204</f>
        <v>5800.6</v>
      </c>
      <c r="F17" s="86">
        <f>'Приложение 3'!H204</f>
        <v>5800.6</v>
      </c>
      <c r="G17" s="86">
        <f t="shared" si="0"/>
        <v>100</v>
      </c>
    </row>
    <row r="18" spans="1:7" ht="24.75" customHeight="1" outlineLevel="3">
      <c r="A18" s="56" t="str">
        <f>'Приложение 3'!A205</f>
        <v>Предоставление субсидий бюджетным, автономным учреждениям и иным некоммерческим организациям</v>
      </c>
      <c r="B18" s="44" t="str">
        <f>'Приложение 3'!D205</f>
        <v>54</v>
      </c>
      <c r="C18" s="44">
        <f>'Приложение 3'!E205</f>
        <v>0</v>
      </c>
      <c r="D18" s="47">
        <f>'Приложение 3'!F205</f>
        <v>600</v>
      </c>
      <c r="E18" s="84">
        <f>'Приложение 3'!G205</f>
        <v>5800.6</v>
      </c>
      <c r="F18" s="84">
        <f>'Приложение 3'!H205</f>
        <v>5800.6</v>
      </c>
      <c r="G18" s="84">
        <f t="shared" si="0"/>
        <v>100</v>
      </c>
    </row>
    <row r="19" spans="1:7" ht="54" customHeight="1" outlineLevel="3">
      <c r="A19" s="57" t="str">
        <f>'Приложение 3'!A206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19" s="85" t="str">
        <f>'Приложение 3'!D206</f>
        <v>55</v>
      </c>
      <c r="C19" s="85">
        <f>'Приложение 3'!E206</f>
        <v>0</v>
      </c>
      <c r="D19" s="85"/>
      <c r="E19" s="86">
        <f>'Приложение 3'!G206</f>
        <v>6094.199599999999</v>
      </c>
      <c r="F19" s="86">
        <f>'Приложение 3'!H206</f>
        <v>6087.45013</v>
      </c>
      <c r="G19" s="86">
        <f t="shared" si="0"/>
        <v>99.88924763803276</v>
      </c>
    </row>
    <row r="20" spans="1:7" ht="24" outlineLevel="3">
      <c r="A20" s="56" t="str">
        <f>'Приложение 3'!A207</f>
        <v>Предоставление субсидий бюджетным, автономным учреждениям и иным некоммерческим организациям</v>
      </c>
      <c r="B20" s="44" t="str">
        <f>'Приложение 3'!D207</f>
        <v>55</v>
      </c>
      <c r="C20" s="44">
        <f>'Приложение 3'!E207</f>
        <v>0</v>
      </c>
      <c r="D20" s="47">
        <f>'Приложение 3'!F207</f>
        <v>600</v>
      </c>
      <c r="E20" s="84">
        <f>'Приложение 3'!G206</f>
        <v>6094.199599999999</v>
      </c>
      <c r="F20" s="84">
        <f>'Приложение 3'!H206</f>
        <v>6087.45013</v>
      </c>
      <c r="G20" s="84">
        <f t="shared" si="0"/>
        <v>99.88924763803276</v>
      </c>
    </row>
    <row r="21" spans="1:7" ht="36" outlineLevel="3">
      <c r="A21" s="58" t="str">
        <f>'Приложение 3'!A218</f>
        <v>Ведомственная целевая программа "Молодежная политика на территории Алексеевского муниципального района на 2019-2021 годы" (СДЦ)</v>
      </c>
      <c r="B21" s="85" t="str">
        <f>'Приложение 3'!D218</f>
        <v>56</v>
      </c>
      <c r="C21" s="85">
        <f>'Приложение 3'!E218</f>
        <v>0</v>
      </c>
      <c r="D21" s="85"/>
      <c r="E21" s="86">
        <f>SUM(E22)</f>
        <v>6080.260979999999</v>
      </c>
      <c r="F21" s="86">
        <f>SUM(F22)</f>
        <v>6080.260979999999</v>
      </c>
      <c r="G21" s="86">
        <f t="shared" si="0"/>
        <v>100</v>
      </c>
    </row>
    <row r="22" spans="1:7" ht="24" outlineLevel="3">
      <c r="A22" s="55" t="str">
        <f>'Приложение 3'!A219</f>
        <v>Предоставление субсидий бюджетным, автономным учреждениям и иным некоммерческим организациям</v>
      </c>
      <c r="B22" s="44" t="str">
        <f>'Приложение 3'!D219</f>
        <v>56</v>
      </c>
      <c r="C22" s="44">
        <f>'Приложение 3'!E219</f>
        <v>0</v>
      </c>
      <c r="D22" s="44">
        <f>'Приложение 3'!F219</f>
        <v>600</v>
      </c>
      <c r="E22" s="84">
        <f>SUM('Приложение 3'!G218)</f>
        <v>6080.260979999999</v>
      </c>
      <c r="F22" s="84">
        <f>SUM('Приложение 3'!H218)</f>
        <v>6080.260979999999</v>
      </c>
      <c r="G22" s="84">
        <f t="shared" si="0"/>
        <v>100</v>
      </c>
    </row>
    <row r="23" spans="1:7" ht="48" outlineLevel="3">
      <c r="A23" s="58" t="str">
        <f>'Приложение 3'!A227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3" s="85" t="str">
        <f>'Приложение 3'!D227</f>
        <v>58</v>
      </c>
      <c r="C23" s="85">
        <f>'Приложение 3'!E227</f>
        <v>0</v>
      </c>
      <c r="D23" s="85"/>
      <c r="E23" s="86">
        <f>SUM(E24:E26)</f>
        <v>1377.08448</v>
      </c>
      <c r="F23" s="86">
        <f>SUM(F24:F26)</f>
        <v>1377.08448</v>
      </c>
      <c r="G23" s="86">
        <f t="shared" si="0"/>
        <v>100</v>
      </c>
    </row>
    <row r="24" spans="1:7" ht="48" outlineLevel="3">
      <c r="A24" s="55" t="str">
        <f>'Приложение 3'!A228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" s="44" t="s">
        <v>24</v>
      </c>
      <c r="C24" s="44" t="s">
        <v>9</v>
      </c>
      <c r="D24" s="44" t="s">
        <v>188</v>
      </c>
      <c r="E24" s="84">
        <f>SUM('Приложение 3'!G228)</f>
        <v>1323.08448</v>
      </c>
      <c r="F24" s="84">
        <f>SUM('Приложение 3'!H228)</f>
        <v>1323.08448</v>
      </c>
      <c r="G24" s="84">
        <f t="shared" si="0"/>
        <v>100</v>
      </c>
    </row>
    <row r="25" spans="1:7" ht="24" outlineLevel="3">
      <c r="A25" s="55" t="str">
        <f>'Приложение 3'!A229</f>
        <v>Закупка товаров, работ и услуг для государственных (муниципальных) нужд</v>
      </c>
      <c r="B25" s="44" t="s">
        <v>24</v>
      </c>
      <c r="C25" s="44" t="s">
        <v>9</v>
      </c>
      <c r="D25" s="44" t="s">
        <v>161</v>
      </c>
      <c r="E25" s="84">
        <f>SUM('Приложение 3'!G229)</f>
        <v>54</v>
      </c>
      <c r="F25" s="84">
        <f>SUM('Приложение 3'!H229)</f>
        <v>54</v>
      </c>
      <c r="G25" s="84">
        <f t="shared" si="0"/>
        <v>100</v>
      </c>
    </row>
    <row r="26" spans="1:7" ht="12.75" outlineLevel="3">
      <c r="A26" s="55" t="str">
        <f>'Приложение 3'!A230</f>
        <v>Иные бюджетные ассигнования</v>
      </c>
      <c r="B26" s="44" t="s">
        <v>24</v>
      </c>
      <c r="C26" s="44" t="s">
        <v>9</v>
      </c>
      <c r="D26" s="44" t="s">
        <v>189</v>
      </c>
      <c r="E26" s="84">
        <f>SUM('Приложение 3'!G230)</f>
        <v>0</v>
      </c>
      <c r="F26" s="84">
        <f>SUM('Приложение 3'!H230)</f>
        <v>0</v>
      </c>
      <c r="G26" s="84">
        <v>0</v>
      </c>
    </row>
    <row r="27" spans="1:7" ht="36" outlineLevel="5">
      <c r="A27" s="58" t="str">
        <f>'Приложение 3'!A249</f>
        <v>Ведомственная целевая программа "Развитие культуры и искусства в Алексеевском муниципальном районе на 2019-2021 годы"</v>
      </c>
      <c r="B27" s="85" t="str">
        <f>'Приложение 3'!D249</f>
        <v>59</v>
      </c>
      <c r="C27" s="85">
        <f>'Приложение 3'!E249</f>
        <v>0</v>
      </c>
      <c r="D27" s="85"/>
      <c r="E27" s="86">
        <f>SUM(E28)</f>
        <v>15761.33</v>
      </c>
      <c r="F27" s="86">
        <f>SUM(F28)</f>
        <v>15688.036729999998</v>
      </c>
      <c r="G27" s="86">
        <f>SUM(F27/E27)*100</f>
        <v>99.53498042360637</v>
      </c>
    </row>
    <row r="28" spans="1:7" ht="24" outlineLevel="5">
      <c r="A28" s="55" t="str">
        <f>'Приложение 3'!A251</f>
        <v>Предоставление субсидий бюджетным, автономным учреждениям и иным некоммерческим организациям</v>
      </c>
      <c r="B28" s="44" t="s">
        <v>25</v>
      </c>
      <c r="C28" s="44" t="s">
        <v>9</v>
      </c>
      <c r="D28" s="44" t="s">
        <v>190</v>
      </c>
      <c r="E28" s="84">
        <f>SUM('Приложение 3'!G249)</f>
        <v>15761.33</v>
      </c>
      <c r="F28" s="84">
        <f>SUM('Приложение 3'!H249)</f>
        <v>15688.036729999998</v>
      </c>
      <c r="G28" s="84">
        <f>SUM(F28/E28)*100</f>
        <v>99.53498042360637</v>
      </c>
    </row>
    <row r="29" spans="1:7" ht="36">
      <c r="A29" s="57" t="str">
        <f>'Приложение 3'!A302</f>
        <v>Ведомственная целевая программа "Поддержка средств массовой информации в Алексеевском муниципальном районе на 2019-2021 годы"</v>
      </c>
      <c r="B29" s="85" t="str">
        <f>'Приложение 3'!D302</f>
        <v>61</v>
      </c>
      <c r="C29" s="85">
        <f>'Приложение 3'!E302</f>
        <v>0</v>
      </c>
      <c r="D29" s="85"/>
      <c r="E29" s="86">
        <f>SUM(E30)</f>
        <v>2449.415</v>
      </c>
      <c r="F29" s="86">
        <f>SUM(F30)</f>
        <v>2449.415</v>
      </c>
      <c r="G29" s="86">
        <f>SUM(F29/E29)*100</f>
        <v>100</v>
      </c>
    </row>
    <row r="30" spans="1:7" ht="24">
      <c r="A30" s="56" t="str">
        <f>'Приложение 3'!A303</f>
        <v>Предоставление субсидий бюджетным, автономным учреждениям и иным некоммерческим организациям</v>
      </c>
      <c r="B30" s="44" t="str">
        <f>'Приложение 3'!D303</f>
        <v>61</v>
      </c>
      <c r="C30" s="44">
        <f>'Приложение 3'!E303</f>
        <v>0</v>
      </c>
      <c r="D30" s="44">
        <f>'Приложение 3'!F303</f>
        <v>600</v>
      </c>
      <c r="E30" s="84">
        <f>'Приложение 3'!G302</f>
        <v>2449.415</v>
      </c>
      <c r="F30" s="84">
        <f>'Приложение 3'!H302</f>
        <v>2449.415</v>
      </c>
      <c r="G30" s="84">
        <f>SUM(F30/E30)*100</f>
        <v>100</v>
      </c>
    </row>
    <row r="31" spans="1:8" ht="12.75">
      <c r="A31" s="57" t="s">
        <v>105</v>
      </c>
      <c r="B31" s="85"/>
      <c r="C31" s="87"/>
      <c r="D31" s="88"/>
      <c r="E31" s="86">
        <f>SUM(E8+E10+E12+E17+E19+E21+E23+E27+E29)</f>
        <v>276329.1339799999</v>
      </c>
      <c r="F31" s="86">
        <f>SUM(F8+F10+F12+F17+F19+F21+F23+F27+F29)</f>
        <v>271452.66024999996</v>
      </c>
      <c r="G31" s="86">
        <f>SUM(F31/E31)*100</f>
        <v>98.2352661625781</v>
      </c>
      <c r="H31" s="26"/>
    </row>
    <row r="32" spans="4:5" ht="15">
      <c r="D32" s="18"/>
      <c r="E32" s="25"/>
    </row>
    <row r="33" ht="15">
      <c r="D33" s="18"/>
    </row>
    <row r="34" ht="15">
      <c r="D34" s="18"/>
    </row>
    <row r="35" ht="15">
      <c r="D35" s="18"/>
    </row>
    <row r="36" ht="15">
      <c r="D36" s="18"/>
    </row>
    <row r="37" ht="15">
      <c r="D37" s="18"/>
    </row>
    <row r="38" ht="15">
      <c r="D38" s="18"/>
    </row>
    <row r="39" ht="15">
      <c r="D39" s="18"/>
    </row>
    <row r="40" spans="1:9" s="15" customFormat="1" ht="15">
      <c r="A40" s="7"/>
      <c r="B40" s="12"/>
      <c r="C40" s="13"/>
      <c r="D40" s="18"/>
      <c r="F40" s="2"/>
      <c r="G40" s="2"/>
      <c r="H40" s="2"/>
      <c r="I40" s="2"/>
    </row>
    <row r="41" spans="1:9" s="15" customFormat="1" ht="15">
      <c r="A41" s="7"/>
      <c r="B41" s="12"/>
      <c r="C41" s="13"/>
      <c r="D41" s="18"/>
      <c r="F41" s="2"/>
      <c r="G41" s="2"/>
      <c r="H41" s="2"/>
      <c r="I41" s="2"/>
    </row>
  </sheetData>
  <sheetProtection/>
  <mergeCells count="5">
    <mergeCell ref="C1:G1"/>
    <mergeCell ref="C3:G3"/>
    <mergeCell ref="E6:G6"/>
    <mergeCell ref="A4:G4"/>
    <mergeCell ref="A2:G2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2020-02-28T11:17:48Z</cp:lastPrinted>
  <dcterms:created xsi:type="dcterms:W3CDTF">2002-03-11T10:22:12Z</dcterms:created>
  <dcterms:modified xsi:type="dcterms:W3CDTF">2020-06-02T05:29:41Z</dcterms:modified>
  <cp:category/>
  <cp:version/>
  <cp:contentType/>
  <cp:contentStatus/>
</cp:coreProperties>
</file>